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7BEF7B54-73C3-4CA9-83BC-A498E9F23476}" xr6:coauthVersionLast="47" xr6:coauthVersionMax="47" xr10:uidLastSave="{00000000-0000-0000-0000-000000000000}"/>
  <workbookProtection workbookAlgorithmName="SHA-512" workbookHashValue="atmzVE/5+g0PfdheWzGVjFIg3JMMCDM/I6peT+DppSWtTLCH+AUi3UsDJy3z2tZZmY/VpGX5PIH+kxtxKmiq8w==" workbookSaltValue="JPtVH6ISnuM4AcHwumipBA==" workbookSpinCount="100000" lockStructure="1"/>
  <bookViews>
    <workbookView xWindow="-120" yWindow="-120" windowWidth="29040" windowHeight="15840" xr2:uid="{5F939F0E-B7C8-4EE0-A5CF-22394BFDF32C}"/>
  </bookViews>
  <sheets>
    <sheet name="ZU 2024 po 4.ZR a RORM 1-155" sheetId="1" r:id="rId1"/>
  </sheets>
  <definedNames>
    <definedName name="__DdeLink__9289_5144441" localSheetId="0">'ZU 2024 po 4.ZR a RORM 1-155'!#REF!</definedName>
    <definedName name="_xlnm.Print_Titles" localSheetId="0">'ZU 2024 po 4.ZR a RORM 1-155'!$1:$2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5" i="1" l="1"/>
  <c r="P294" i="1"/>
  <c r="P349" i="1"/>
  <c r="P347" i="1" s="1"/>
  <c r="P319" i="1"/>
  <c r="P311" i="1"/>
  <c r="P255" i="1"/>
  <c r="Q252" i="1"/>
  <c r="P252" i="1"/>
  <c r="P181" i="1"/>
  <c r="P192" i="1"/>
  <c r="P179" i="1" s="1"/>
  <c r="P178" i="1"/>
  <c r="P104" i="1"/>
  <c r="Q104" i="1" s="1"/>
  <c r="P102" i="1"/>
  <c r="Q102" i="1" s="1"/>
  <c r="P63" i="1"/>
  <c r="P62" i="1"/>
  <c r="P46" i="1"/>
  <c r="P8" i="1"/>
  <c r="P6" i="1"/>
  <c r="P353" i="1"/>
  <c r="P351" i="1" s="1"/>
  <c r="P267" i="1"/>
  <c r="P260" i="1" s="1"/>
  <c r="P218" i="1"/>
  <c r="P214" i="1"/>
  <c r="P216" i="1"/>
  <c r="P212" i="1"/>
  <c r="P209" i="1"/>
  <c r="P201" i="1"/>
  <c r="P49" i="1"/>
  <c r="P51" i="1"/>
  <c r="P403" i="1"/>
  <c r="P388" i="1"/>
  <c r="P387" i="1"/>
  <c r="P385" i="1" s="1"/>
  <c r="P382" i="1"/>
  <c r="P373" i="1"/>
  <c r="P366" i="1"/>
  <c r="P360" i="1"/>
  <c r="P328" i="1"/>
  <c r="P326" i="1" s="1"/>
  <c r="P322" i="1"/>
  <c r="P321" i="1"/>
  <c r="P307" i="1"/>
  <c r="P302" i="1"/>
  <c r="P299" i="1"/>
  <c r="O288" i="1"/>
  <c r="P291" i="1"/>
  <c r="P288" i="1" s="1"/>
  <c r="P284" i="1"/>
  <c r="P256" i="1"/>
  <c r="Q237" i="1"/>
  <c r="P228" i="1"/>
  <c r="Q228" i="1" s="1"/>
  <c r="P195" i="1"/>
  <c r="P116" i="1"/>
  <c r="Q116" i="1" s="1"/>
  <c r="P92" i="1"/>
  <c r="Q92" i="1" s="1"/>
  <c r="P90" i="1"/>
  <c r="Q90" i="1" s="1"/>
  <c r="P71" i="1"/>
  <c r="P64" i="1"/>
  <c r="P52" i="1"/>
  <c r="P32" i="1"/>
  <c r="P39" i="1"/>
  <c r="P20" i="1"/>
  <c r="O403" i="1"/>
  <c r="O388" i="1"/>
  <c r="O385" i="1"/>
  <c r="O382" i="1"/>
  <c r="O373" i="1"/>
  <c r="O366" i="1"/>
  <c r="O360" i="1"/>
  <c r="O351" i="1"/>
  <c r="O347" i="1"/>
  <c r="O326" i="1"/>
  <c r="O322" i="1"/>
  <c r="O317" i="1"/>
  <c r="O307" i="1"/>
  <c r="O302" i="1"/>
  <c r="O299" i="1"/>
  <c r="O256" i="1"/>
  <c r="O284" i="1"/>
  <c r="O260" i="1"/>
  <c r="O202" i="1"/>
  <c r="O193" i="1"/>
  <c r="O179" i="1"/>
  <c r="O69" i="1"/>
  <c r="O64" i="1"/>
  <c r="O60" i="1"/>
  <c r="O24" i="1"/>
  <c r="O20" i="1"/>
  <c r="O9" i="1"/>
  <c r="O295" i="1"/>
  <c r="O292" i="1" s="1"/>
  <c r="O47" i="1"/>
  <c r="O58" i="1"/>
  <c r="O52" i="1" s="1"/>
  <c r="M349" i="1"/>
  <c r="M319" i="1"/>
  <c r="M317" i="1" s="1"/>
  <c r="M309" i="1"/>
  <c r="M310" i="1"/>
  <c r="M295" i="1"/>
  <c r="M292" i="1" s="1"/>
  <c r="M178" i="1"/>
  <c r="M96" i="1"/>
  <c r="M94" i="1"/>
  <c r="M62" i="1"/>
  <c r="M60" i="1" s="1"/>
  <c r="M46" i="1"/>
  <c r="M30" i="1"/>
  <c r="N30" i="1" s="1"/>
  <c r="Q30" i="1" s="1"/>
  <c r="M42" i="1"/>
  <c r="M8" i="1"/>
  <c r="M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387" i="1"/>
  <c r="M385" i="1" s="1"/>
  <c r="M291" i="1"/>
  <c r="M288" i="1" s="1"/>
  <c r="M259" i="1"/>
  <c r="M256" i="1" s="1"/>
  <c r="M368" i="1"/>
  <c r="M233" i="1"/>
  <c r="M130" i="1"/>
  <c r="N130" i="1" s="1"/>
  <c r="Q130" i="1" s="1"/>
  <c r="M125" i="1"/>
  <c r="N125" i="1" s="1"/>
  <c r="Q125" i="1" s="1"/>
  <c r="M86" i="1"/>
  <c r="N86" i="1" s="1"/>
  <c r="Q86" i="1" s="1"/>
  <c r="M84" i="1"/>
  <c r="N84" i="1" s="1"/>
  <c r="Q84" i="1" s="1"/>
  <c r="M81" i="1"/>
  <c r="N81" i="1" s="1"/>
  <c r="Q81" i="1" s="1"/>
  <c r="M79" i="1"/>
  <c r="N79" i="1" s="1"/>
  <c r="Q79" i="1" s="1"/>
  <c r="K174" i="1"/>
  <c r="N174" i="1" s="1"/>
  <c r="Q174" i="1" s="1"/>
  <c r="K134" i="1"/>
  <c r="N134" i="1" s="1"/>
  <c r="Q134" i="1" s="1"/>
  <c r="L59" i="1"/>
  <c r="L6" i="1"/>
  <c r="M403" i="1"/>
  <c r="M388" i="1"/>
  <c r="M382" i="1"/>
  <c r="M376" i="1"/>
  <c r="M373" i="1" s="1"/>
  <c r="M369" i="1"/>
  <c r="M360" i="1"/>
  <c r="M351" i="1"/>
  <c r="M347" i="1"/>
  <c r="M346" i="1"/>
  <c r="M328" i="1"/>
  <c r="M322" i="1"/>
  <c r="M302" i="1"/>
  <c r="M299" i="1"/>
  <c r="M284" i="1"/>
  <c r="M283" i="1"/>
  <c r="M260" i="1" s="1"/>
  <c r="M253" i="1"/>
  <c r="N253" i="1" s="1"/>
  <c r="Q253" i="1" s="1"/>
  <c r="M250" i="1"/>
  <c r="N250" i="1" s="1"/>
  <c r="Q250" i="1" s="1"/>
  <c r="M251" i="1"/>
  <c r="N251" i="1" s="1"/>
  <c r="Q251" i="1" s="1"/>
  <c r="M255" i="1"/>
  <c r="M193" i="1"/>
  <c r="M179" i="1"/>
  <c r="M64" i="1"/>
  <c r="M52" i="1"/>
  <c r="M51" i="1"/>
  <c r="M47" i="1" s="1"/>
  <c r="M20" i="1"/>
  <c r="L319" i="1"/>
  <c r="L349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78" i="1"/>
  <c r="L136" i="1"/>
  <c r="L126" i="1"/>
  <c r="L124" i="1"/>
  <c r="L127" i="1"/>
  <c r="L123" i="1"/>
  <c r="L122" i="1"/>
  <c r="L121" i="1"/>
  <c r="L119" i="1"/>
  <c r="L118" i="1"/>
  <c r="L115" i="1"/>
  <c r="L114" i="1"/>
  <c r="L98" i="1"/>
  <c r="L106" i="1"/>
  <c r="P292" i="1" l="1"/>
  <c r="P317" i="1"/>
  <c r="Q267" i="1"/>
  <c r="P392" i="1"/>
  <c r="P202" i="1"/>
  <c r="P193" i="1"/>
  <c r="P47" i="1"/>
  <c r="P24" i="1"/>
  <c r="O392" i="1"/>
  <c r="O21" i="1"/>
  <c r="P60" i="1"/>
  <c r="P9" i="1"/>
  <c r="P21" i="1" s="1"/>
  <c r="P69" i="1"/>
  <c r="O296" i="1"/>
  <c r="M307" i="1"/>
  <c r="M366" i="1"/>
  <c r="M24" i="1"/>
  <c r="M202" i="1"/>
  <c r="N42" i="1"/>
  <c r="Q42" i="1" s="1"/>
  <c r="M9" i="1"/>
  <c r="M21" i="1" s="1"/>
  <c r="N233" i="1"/>
  <c r="Q233" i="1" s="1"/>
  <c r="M69" i="1"/>
  <c r="M326" i="1"/>
  <c r="L332" i="1"/>
  <c r="L331" i="1"/>
  <c r="L403" i="1"/>
  <c r="L388" i="1"/>
  <c r="L385" i="1"/>
  <c r="L382" i="1"/>
  <c r="L373" i="1"/>
  <c r="L364" i="1"/>
  <c r="N364" i="1" s="1"/>
  <c r="Q364" i="1" s="1"/>
  <c r="L363" i="1"/>
  <c r="L370" i="1"/>
  <c r="L366" i="1" s="1"/>
  <c r="L353" i="1"/>
  <c r="L356" i="1"/>
  <c r="L355" i="1"/>
  <c r="L347" i="1"/>
  <c r="L322" i="1"/>
  <c r="L321" i="1"/>
  <c r="L317" i="1" s="1"/>
  <c r="L307" i="1"/>
  <c r="L302" i="1"/>
  <c r="L299" i="1"/>
  <c r="L292" i="1"/>
  <c r="L288" i="1"/>
  <c r="L284" i="1"/>
  <c r="L283" i="1"/>
  <c r="L264" i="1"/>
  <c r="L262" i="1"/>
  <c r="L263" i="1"/>
  <c r="L256" i="1"/>
  <c r="L255" i="1"/>
  <c r="L235" i="1"/>
  <c r="L217" i="1"/>
  <c r="L206" i="1"/>
  <c r="L201" i="1"/>
  <c r="L197" i="1"/>
  <c r="L196" i="1"/>
  <c r="L192" i="1"/>
  <c r="L179" i="1" s="1"/>
  <c r="L69" i="1"/>
  <c r="L64" i="1"/>
  <c r="L63" i="1"/>
  <c r="L62" i="1"/>
  <c r="L56" i="1"/>
  <c r="L47" i="1"/>
  <c r="L46" i="1"/>
  <c r="L24" i="1" s="1"/>
  <c r="L20" i="1"/>
  <c r="L8" i="1"/>
  <c r="L7" i="1"/>
  <c r="L5" i="1"/>
  <c r="J178" i="1"/>
  <c r="J71" i="1"/>
  <c r="J80" i="1"/>
  <c r="J78" i="1"/>
  <c r="J103" i="1"/>
  <c r="J101" i="1"/>
  <c r="J96" i="1"/>
  <c r="J94" i="1"/>
  <c r="J109" i="1"/>
  <c r="J107" i="1"/>
  <c r="J85" i="1"/>
  <c r="J83" i="1"/>
  <c r="J91" i="1"/>
  <c r="J89" i="1"/>
  <c r="J120" i="1"/>
  <c r="K120" i="1" s="1"/>
  <c r="N120" i="1" s="1"/>
  <c r="Q120" i="1" s="1"/>
  <c r="J110" i="1"/>
  <c r="K110" i="1" s="1"/>
  <c r="N110" i="1" s="1"/>
  <c r="Q110" i="1" s="1"/>
  <c r="J108" i="1"/>
  <c r="K108" i="1" s="1"/>
  <c r="N108" i="1" s="1"/>
  <c r="Q108" i="1" s="1"/>
  <c r="J97" i="1"/>
  <c r="K97" i="1" s="1"/>
  <c r="N97" i="1" s="1"/>
  <c r="Q97" i="1" s="1"/>
  <c r="J95" i="1"/>
  <c r="K95" i="1" s="1"/>
  <c r="N95" i="1" s="1"/>
  <c r="Q95" i="1" s="1"/>
  <c r="P296" i="1" l="1"/>
  <c r="P393" i="1" s="1"/>
  <c r="P404" i="1" s="1"/>
  <c r="O393" i="1"/>
  <c r="O404" i="1" s="1"/>
  <c r="M392" i="1"/>
  <c r="M296" i="1"/>
  <c r="L326" i="1"/>
  <c r="L9" i="1"/>
  <c r="L360" i="1"/>
  <c r="N363" i="1"/>
  <c r="Q363" i="1" s="1"/>
  <c r="L52" i="1"/>
  <c r="L202" i="1"/>
  <c r="L260" i="1"/>
  <c r="L60" i="1"/>
  <c r="L351" i="1"/>
  <c r="L193" i="1"/>
  <c r="J376" i="1"/>
  <c r="J328" i="1"/>
  <c r="J319" i="1"/>
  <c r="J291" i="1"/>
  <c r="J283" i="1"/>
  <c r="J278" i="1"/>
  <c r="J62" i="1"/>
  <c r="J63" i="1"/>
  <c r="J51" i="1"/>
  <c r="J8" i="1"/>
  <c r="J6" i="1"/>
  <c r="J368" i="1"/>
  <c r="J259" i="1"/>
  <c r="J287" i="1"/>
  <c r="J377" i="1"/>
  <c r="J266" i="1"/>
  <c r="K266" i="1" s="1"/>
  <c r="N266" i="1" s="1"/>
  <c r="Q266" i="1" s="1"/>
  <c r="J282" i="1"/>
  <c r="K282" i="1" s="1"/>
  <c r="N282" i="1" s="1"/>
  <c r="Q282" i="1" s="1"/>
  <c r="J281" i="1"/>
  <c r="K281" i="1" s="1"/>
  <c r="N281" i="1" s="1"/>
  <c r="Q281" i="1" s="1"/>
  <c r="J280" i="1"/>
  <c r="J279" i="1"/>
  <c r="K279" i="1" s="1"/>
  <c r="N279" i="1" s="1"/>
  <c r="Q279" i="1" s="1"/>
  <c r="C256" i="1"/>
  <c r="I256" i="1"/>
  <c r="J258" i="1"/>
  <c r="J255" i="1"/>
  <c r="J181" i="1"/>
  <c r="J349" i="1"/>
  <c r="J312" i="1"/>
  <c r="J46" i="1"/>
  <c r="J28" i="1"/>
  <c r="K28" i="1" s="1"/>
  <c r="N28" i="1" s="1"/>
  <c r="Q28" i="1" s="1"/>
  <c r="J29" i="1"/>
  <c r="K29" i="1" s="1"/>
  <c r="N29" i="1" s="1"/>
  <c r="Q29" i="1" s="1"/>
  <c r="J20" i="1"/>
  <c r="I20" i="1"/>
  <c r="C20" i="1"/>
  <c r="I9" i="1"/>
  <c r="C9" i="1"/>
  <c r="M393" i="1" l="1"/>
  <c r="M404" i="1" s="1"/>
  <c r="L392" i="1"/>
  <c r="L21" i="1"/>
  <c r="L296" i="1"/>
  <c r="J260" i="1"/>
  <c r="K280" i="1"/>
  <c r="N280" i="1" s="1"/>
  <c r="Q280" i="1" s="1"/>
  <c r="K258" i="1"/>
  <c r="N258" i="1" s="1"/>
  <c r="Q258" i="1" s="1"/>
  <c r="I388" i="1"/>
  <c r="I385" i="1"/>
  <c r="I382" i="1"/>
  <c r="I373" i="1"/>
  <c r="I366" i="1"/>
  <c r="I360" i="1"/>
  <c r="I351" i="1"/>
  <c r="I347" i="1"/>
  <c r="I326" i="1"/>
  <c r="I322" i="1"/>
  <c r="I317" i="1"/>
  <c r="I307" i="1"/>
  <c r="I302" i="1"/>
  <c r="I299" i="1"/>
  <c r="I292" i="1"/>
  <c r="I288" i="1"/>
  <c r="I284" i="1"/>
  <c r="I260" i="1"/>
  <c r="I202" i="1"/>
  <c r="I193" i="1"/>
  <c r="I179" i="1"/>
  <c r="I69" i="1"/>
  <c r="I64" i="1"/>
  <c r="I60" i="1"/>
  <c r="I52" i="1"/>
  <c r="I47" i="1"/>
  <c r="I24" i="1"/>
  <c r="I21" i="1"/>
  <c r="C292" i="1"/>
  <c r="C288" i="1"/>
  <c r="C284" i="1"/>
  <c r="C260" i="1"/>
  <c r="C202" i="1"/>
  <c r="C193" i="1"/>
  <c r="C179" i="1"/>
  <c r="C69" i="1"/>
  <c r="C64" i="1"/>
  <c r="C60" i="1"/>
  <c r="C52" i="1"/>
  <c r="C47" i="1"/>
  <c r="C24" i="1"/>
  <c r="J403" i="1"/>
  <c r="J390" i="1"/>
  <c r="J388" i="1" s="1"/>
  <c r="J385" i="1"/>
  <c r="J382" i="1"/>
  <c r="J373" i="1"/>
  <c r="J366" i="1"/>
  <c r="J360" i="1"/>
  <c r="J351" i="1"/>
  <c r="J347" i="1"/>
  <c r="J345" i="1"/>
  <c r="K345" i="1" s="1"/>
  <c r="N345" i="1" s="1"/>
  <c r="Q345" i="1" s="1"/>
  <c r="J322" i="1"/>
  <c r="J317" i="1"/>
  <c r="J309" i="1"/>
  <c r="J310" i="1"/>
  <c r="J302" i="1"/>
  <c r="J299" i="1"/>
  <c r="J295" i="1"/>
  <c r="J292" i="1" s="1"/>
  <c r="J290" i="1"/>
  <c r="J288" i="1" s="1"/>
  <c r="J284" i="1"/>
  <c r="J256" i="1"/>
  <c r="J221" i="1"/>
  <c r="K221" i="1" s="1"/>
  <c r="N221" i="1" s="1"/>
  <c r="Q221" i="1" s="1"/>
  <c r="J247" i="1"/>
  <c r="K247" i="1" s="1"/>
  <c r="N247" i="1" s="1"/>
  <c r="Q247" i="1" s="1"/>
  <c r="J193" i="1"/>
  <c r="J179" i="1"/>
  <c r="J140" i="1"/>
  <c r="K140" i="1" s="1"/>
  <c r="N140" i="1" s="1"/>
  <c r="Q140" i="1" s="1"/>
  <c r="K141" i="1"/>
  <c r="N141" i="1" s="1"/>
  <c r="Q141" i="1" s="1"/>
  <c r="J139" i="1"/>
  <c r="K139" i="1" s="1"/>
  <c r="N139" i="1" s="1"/>
  <c r="Q139" i="1" s="1"/>
  <c r="J64" i="1"/>
  <c r="J52" i="1"/>
  <c r="J49" i="1"/>
  <c r="J47" i="1" s="1"/>
  <c r="J24" i="1"/>
  <c r="J9" i="1"/>
  <c r="K254" i="1"/>
  <c r="N254" i="1" s="1"/>
  <c r="Q254" i="1" s="1"/>
  <c r="K320" i="1"/>
  <c r="N320" i="1" s="1"/>
  <c r="Q320" i="1" s="1"/>
  <c r="K332" i="1"/>
  <c r="N332" i="1" s="1"/>
  <c r="Q332" i="1" s="1"/>
  <c r="K337" i="1"/>
  <c r="N337" i="1" s="1"/>
  <c r="Q337" i="1" s="1"/>
  <c r="K338" i="1"/>
  <c r="N338" i="1" s="1"/>
  <c r="Q338" i="1" s="1"/>
  <c r="K358" i="1"/>
  <c r="N358" i="1" s="1"/>
  <c r="Q358" i="1" s="1"/>
  <c r="K44" i="1"/>
  <c r="N44" i="1" s="1"/>
  <c r="Q44" i="1" s="1"/>
  <c r="H137" i="1"/>
  <c r="K137" i="1" s="1"/>
  <c r="N137" i="1" s="1"/>
  <c r="Q137" i="1" s="1"/>
  <c r="H26" i="1"/>
  <c r="K26" i="1" s="1"/>
  <c r="N26" i="1" s="1"/>
  <c r="Q26" i="1" s="1"/>
  <c r="H39" i="1"/>
  <c r="K39" i="1" s="1"/>
  <c r="N39" i="1" s="1"/>
  <c r="Q39" i="1" s="1"/>
  <c r="I403" i="1"/>
  <c r="L393" i="1" l="1"/>
  <c r="L404" i="1" s="1"/>
  <c r="J326" i="1"/>
  <c r="C296" i="1"/>
  <c r="I296" i="1"/>
  <c r="J202" i="1"/>
  <c r="J307" i="1"/>
  <c r="J69" i="1"/>
  <c r="J21" i="1"/>
  <c r="J60" i="1"/>
  <c r="I392" i="1"/>
  <c r="G319" i="1"/>
  <c r="G317" i="1" s="1"/>
  <c r="G241" i="1"/>
  <c r="H241" i="1" s="1"/>
  <c r="K241" i="1" s="1"/>
  <c r="N241" i="1" s="1"/>
  <c r="Q241" i="1" s="1"/>
  <c r="G255" i="1"/>
  <c r="G240" i="1"/>
  <c r="H240" i="1" s="1"/>
  <c r="K240" i="1" s="1"/>
  <c r="N240" i="1" s="1"/>
  <c r="Q240" i="1" s="1"/>
  <c r="G71" i="1"/>
  <c r="G178" i="1"/>
  <c r="G138" i="1"/>
  <c r="H138" i="1" s="1"/>
  <c r="K138" i="1" s="1"/>
  <c r="N138" i="1" s="1"/>
  <c r="Q138" i="1" s="1"/>
  <c r="G62" i="1"/>
  <c r="G63" i="1"/>
  <c r="G43" i="1"/>
  <c r="H43" i="1" s="1"/>
  <c r="K43" i="1" s="1"/>
  <c r="N43" i="1" s="1"/>
  <c r="Q43" i="1" s="1"/>
  <c r="G41" i="1"/>
  <c r="H41" i="1" s="1"/>
  <c r="K41" i="1" s="1"/>
  <c r="N41" i="1" s="1"/>
  <c r="Q41" i="1" s="1"/>
  <c r="G46" i="1"/>
  <c r="G8" i="1"/>
  <c r="G6" i="1"/>
  <c r="G218" i="1"/>
  <c r="H218" i="1" s="1"/>
  <c r="K218" i="1" s="1"/>
  <c r="N218" i="1" s="1"/>
  <c r="Q218" i="1" s="1"/>
  <c r="G212" i="1"/>
  <c r="H212" i="1" s="1"/>
  <c r="K212" i="1" s="1"/>
  <c r="N212" i="1" s="1"/>
  <c r="Q212" i="1" s="1"/>
  <c r="G214" i="1"/>
  <c r="H214" i="1" s="1"/>
  <c r="K214" i="1" s="1"/>
  <c r="N214" i="1" s="1"/>
  <c r="Q214" i="1" s="1"/>
  <c r="G216" i="1"/>
  <c r="H216" i="1" s="1"/>
  <c r="K216" i="1" s="1"/>
  <c r="N216" i="1" s="1"/>
  <c r="Q216" i="1" s="1"/>
  <c r="G209" i="1"/>
  <c r="H209" i="1" s="1"/>
  <c r="K209" i="1" s="1"/>
  <c r="N209" i="1" s="1"/>
  <c r="Q209" i="1" s="1"/>
  <c r="G387" i="1"/>
  <c r="G385" i="1" s="1"/>
  <c r="G368" i="1"/>
  <c r="G315" i="1"/>
  <c r="G307" i="1" s="1"/>
  <c r="G295" i="1"/>
  <c r="G292" i="1" s="1"/>
  <c r="G259" i="1"/>
  <c r="G256" i="1" s="1"/>
  <c r="G195" i="1"/>
  <c r="G193" i="1" s="1"/>
  <c r="G181" i="1"/>
  <c r="G179" i="1" s="1"/>
  <c r="G32" i="1"/>
  <c r="H32" i="1" s="1"/>
  <c r="K32" i="1" s="1"/>
  <c r="N32" i="1" s="1"/>
  <c r="Q32" i="1" s="1"/>
  <c r="G35" i="1"/>
  <c r="H35" i="1" s="1"/>
  <c r="K35" i="1" s="1"/>
  <c r="N35" i="1" s="1"/>
  <c r="Q35" i="1" s="1"/>
  <c r="G370" i="1"/>
  <c r="G239" i="1"/>
  <c r="G133" i="1"/>
  <c r="H133" i="1" s="1"/>
  <c r="K133" i="1" s="1"/>
  <c r="N133" i="1" s="1"/>
  <c r="Q133" i="1" s="1"/>
  <c r="G36" i="1"/>
  <c r="H36" i="1" s="1"/>
  <c r="K36" i="1" s="1"/>
  <c r="N36" i="1" s="1"/>
  <c r="Q36" i="1" s="1"/>
  <c r="G34" i="1"/>
  <c r="H34" i="1" s="1"/>
  <c r="K34" i="1" s="1"/>
  <c r="N34" i="1" s="1"/>
  <c r="Q34" i="1" s="1"/>
  <c r="G72" i="1"/>
  <c r="H72" i="1" s="1"/>
  <c r="K72" i="1" s="1"/>
  <c r="N72" i="1" s="1"/>
  <c r="Q72" i="1" s="1"/>
  <c r="G290" i="1"/>
  <c r="G288" i="1" s="1"/>
  <c r="G49" i="1"/>
  <c r="G47" i="1" s="1"/>
  <c r="G37" i="1"/>
  <c r="G20" i="1"/>
  <c r="G7" i="1"/>
  <c r="G5" i="1"/>
  <c r="C21" i="1"/>
  <c r="G403" i="1"/>
  <c r="G388" i="1"/>
  <c r="G382" i="1"/>
  <c r="G373" i="1"/>
  <c r="G360" i="1"/>
  <c r="G351" i="1"/>
  <c r="G347" i="1"/>
  <c r="G326" i="1"/>
  <c r="G322" i="1"/>
  <c r="G302" i="1"/>
  <c r="G299" i="1"/>
  <c r="G284" i="1"/>
  <c r="G260" i="1"/>
  <c r="G64" i="1"/>
  <c r="G52" i="1"/>
  <c r="J392" i="1" l="1"/>
  <c r="J296" i="1"/>
  <c r="I393" i="1"/>
  <c r="I404" i="1" s="1"/>
  <c r="G366" i="1"/>
  <c r="G392" i="1" s="1"/>
  <c r="G202" i="1"/>
  <c r="H239" i="1"/>
  <c r="K239" i="1" s="1"/>
  <c r="N239" i="1" s="1"/>
  <c r="Q239" i="1" s="1"/>
  <c r="G24" i="1"/>
  <c r="G69" i="1"/>
  <c r="H37" i="1"/>
  <c r="K37" i="1" s="1"/>
  <c r="N37" i="1" s="1"/>
  <c r="Q37" i="1" s="1"/>
  <c r="G60" i="1"/>
  <c r="G9" i="1"/>
  <c r="G21" i="1" s="1"/>
  <c r="D368" i="1"/>
  <c r="D353" i="1"/>
  <c r="D319" i="1"/>
  <c r="D311" i="1"/>
  <c r="D286" i="1"/>
  <c r="D259" i="1"/>
  <c r="D219" i="1"/>
  <c r="F219" i="1" s="1"/>
  <c r="H219" i="1" s="1"/>
  <c r="K219" i="1" s="1"/>
  <c r="N219" i="1" s="1"/>
  <c r="Q219" i="1" s="1"/>
  <c r="D255" i="1"/>
  <c r="D181" i="1"/>
  <c r="D178" i="1"/>
  <c r="D129" i="1"/>
  <c r="D128" i="1"/>
  <c r="D109" i="1"/>
  <c r="F109" i="1" s="1"/>
  <c r="H109" i="1" s="1"/>
  <c r="K109" i="1" s="1"/>
  <c r="N109" i="1" s="1"/>
  <c r="Q109" i="1" s="1"/>
  <c r="D107" i="1"/>
  <c r="F107" i="1" s="1"/>
  <c r="H107" i="1" s="1"/>
  <c r="K107" i="1" s="1"/>
  <c r="N107" i="1" s="1"/>
  <c r="Q107" i="1" s="1"/>
  <c r="D91" i="1"/>
  <c r="F91" i="1" s="1"/>
  <c r="H91" i="1" s="1"/>
  <c r="K91" i="1" s="1"/>
  <c r="N91" i="1" s="1"/>
  <c r="Q91" i="1" s="1"/>
  <c r="D89" i="1"/>
  <c r="F89" i="1" s="1"/>
  <c r="H89" i="1" s="1"/>
  <c r="K89" i="1" s="1"/>
  <c r="N89" i="1" s="1"/>
  <c r="Q89" i="1" s="1"/>
  <c r="D80" i="1"/>
  <c r="F80" i="1" s="1"/>
  <c r="H80" i="1" s="1"/>
  <c r="K80" i="1" s="1"/>
  <c r="N80" i="1" s="1"/>
  <c r="Q80" i="1" s="1"/>
  <c r="D78" i="1"/>
  <c r="F78" i="1" s="1"/>
  <c r="H78" i="1" s="1"/>
  <c r="K78" i="1" s="1"/>
  <c r="N78" i="1" s="1"/>
  <c r="Q78" i="1" s="1"/>
  <c r="D103" i="1"/>
  <c r="F103" i="1" s="1"/>
  <c r="H103" i="1" s="1"/>
  <c r="K103" i="1" s="1"/>
  <c r="N103" i="1" s="1"/>
  <c r="Q103" i="1" s="1"/>
  <c r="D101" i="1"/>
  <c r="F101" i="1" s="1"/>
  <c r="H101" i="1" s="1"/>
  <c r="K101" i="1" s="1"/>
  <c r="N101" i="1" s="1"/>
  <c r="Q101" i="1" s="1"/>
  <c r="D85" i="1"/>
  <c r="F85" i="1" s="1"/>
  <c r="H85" i="1" s="1"/>
  <c r="K85" i="1" s="1"/>
  <c r="N85" i="1" s="1"/>
  <c r="Q85" i="1" s="1"/>
  <c r="D83" i="1"/>
  <c r="F83" i="1" s="1"/>
  <c r="H83" i="1" s="1"/>
  <c r="K83" i="1" s="1"/>
  <c r="N83" i="1" s="1"/>
  <c r="Q83" i="1" s="1"/>
  <c r="D96" i="1"/>
  <c r="F96" i="1" s="1"/>
  <c r="H96" i="1" s="1"/>
  <c r="K96" i="1" s="1"/>
  <c r="N96" i="1" s="1"/>
  <c r="Q96" i="1" s="1"/>
  <c r="D94" i="1"/>
  <c r="F94" i="1" s="1"/>
  <c r="H94" i="1" s="1"/>
  <c r="K94" i="1" s="1"/>
  <c r="N94" i="1" s="1"/>
  <c r="Q94" i="1" s="1"/>
  <c r="D62" i="1"/>
  <c r="D63" i="1"/>
  <c r="D38" i="1"/>
  <c r="F38" i="1" s="1"/>
  <c r="H38" i="1" s="1"/>
  <c r="K38" i="1" s="1"/>
  <c r="N38" i="1" s="1"/>
  <c r="Q38" i="1" s="1"/>
  <c r="E24" i="1"/>
  <c r="D27" i="1"/>
  <c r="D31" i="1"/>
  <c r="F31" i="1" s="1"/>
  <c r="H31" i="1" s="1"/>
  <c r="K31" i="1" s="1"/>
  <c r="N31" i="1" s="1"/>
  <c r="Q31" i="1" s="1"/>
  <c r="F5" i="1"/>
  <c r="J393" i="1" l="1"/>
  <c r="J404" i="1" s="1"/>
  <c r="G296" i="1"/>
  <c r="G393" i="1" s="1"/>
  <c r="H5" i="1"/>
  <c r="F27" i="1"/>
  <c r="F18" i="1"/>
  <c r="H18" i="1" s="1"/>
  <c r="K18" i="1" s="1"/>
  <c r="N18" i="1" s="1"/>
  <c r="Q18" i="1" s="1"/>
  <c r="D46" i="1"/>
  <c r="F46" i="1" s="1"/>
  <c r="D8" i="1"/>
  <c r="F8" i="1" s="1"/>
  <c r="H8" i="1" s="1"/>
  <c r="D6" i="1"/>
  <c r="F6" i="1" s="1"/>
  <c r="H6" i="1" s="1"/>
  <c r="F371" i="1"/>
  <c r="H371" i="1" s="1"/>
  <c r="K371" i="1" s="1"/>
  <c r="N371" i="1" s="1"/>
  <c r="Q371" i="1" s="1"/>
  <c r="F329" i="1"/>
  <c r="H329" i="1" s="1"/>
  <c r="K329" i="1" s="1"/>
  <c r="N329" i="1" s="1"/>
  <c r="Q329" i="1" s="1"/>
  <c r="F330" i="1"/>
  <c r="H330" i="1" s="1"/>
  <c r="K330" i="1" s="1"/>
  <c r="N330" i="1" s="1"/>
  <c r="Q330" i="1" s="1"/>
  <c r="F331" i="1"/>
  <c r="H331" i="1" s="1"/>
  <c r="K331" i="1" s="1"/>
  <c r="N331" i="1" s="1"/>
  <c r="Q331" i="1" s="1"/>
  <c r="F333" i="1"/>
  <c r="H333" i="1" s="1"/>
  <c r="K333" i="1" s="1"/>
  <c r="N333" i="1" s="1"/>
  <c r="Q333" i="1" s="1"/>
  <c r="F334" i="1"/>
  <c r="H334" i="1" s="1"/>
  <c r="K334" i="1" s="1"/>
  <c r="N334" i="1" s="1"/>
  <c r="Q334" i="1" s="1"/>
  <c r="F335" i="1"/>
  <c r="H335" i="1" s="1"/>
  <c r="K335" i="1" s="1"/>
  <c r="N335" i="1" s="1"/>
  <c r="Q335" i="1" s="1"/>
  <c r="F336" i="1"/>
  <c r="H336" i="1" s="1"/>
  <c r="K336" i="1" s="1"/>
  <c r="N336" i="1" s="1"/>
  <c r="Q336" i="1" s="1"/>
  <c r="F339" i="1"/>
  <c r="H339" i="1" s="1"/>
  <c r="K339" i="1" s="1"/>
  <c r="N339" i="1" s="1"/>
  <c r="Q339" i="1" s="1"/>
  <c r="F340" i="1"/>
  <c r="H340" i="1" s="1"/>
  <c r="K340" i="1" s="1"/>
  <c r="N340" i="1" s="1"/>
  <c r="Q340" i="1" s="1"/>
  <c r="F341" i="1"/>
  <c r="H341" i="1" s="1"/>
  <c r="K341" i="1" s="1"/>
  <c r="N341" i="1" s="1"/>
  <c r="Q341" i="1" s="1"/>
  <c r="F342" i="1"/>
  <c r="H342" i="1" s="1"/>
  <c r="K342" i="1" s="1"/>
  <c r="N342" i="1" s="1"/>
  <c r="Q342" i="1" s="1"/>
  <c r="F343" i="1"/>
  <c r="H343" i="1" s="1"/>
  <c r="K343" i="1" s="1"/>
  <c r="N343" i="1" s="1"/>
  <c r="Q343" i="1" s="1"/>
  <c r="F344" i="1"/>
  <c r="H344" i="1" s="1"/>
  <c r="K344" i="1" s="1"/>
  <c r="N344" i="1" s="1"/>
  <c r="Q344" i="1" s="1"/>
  <c r="F184" i="1"/>
  <c r="H184" i="1" s="1"/>
  <c r="K184" i="1" s="1"/>
  <c r="N184" i="1" s="1"/>
  <c r="Q184" i="1" s="1"/>
  <c r="F185" i="1"/>
  <c r="H185" i="1" s="1"/>
  <c r="K185" i="1" s="1"/>
  <c r="N185" i="1" s="1"/>
  <c r="Q185" i="1" s="1"/>
  <c r="F142" i="1"/>
  <c r="H142" i="1" s="1"/>
  <c r="K142" i="1" s="1"/>
  <c r="N142" i="1" s="1"/>
  <c r="Q142" i="1" s="1"/>
  <c r="F113" i="1"/>
  <c r="H113" i="1" s="1"/>
  <c r="K113" i="1" s="1"/>
  <c r="N113" i="1" s="1"/>
  <c r="Q113" i="1" s="1"/>
  <c r="F111" i="1"/>
  <c r="H111" i="1" s="1"/>
  <c r="K111" i="1" s="1"/>
  <c r="N111" i="1" s="1"/>
  <c r="Q111" i="1" s="1"/>
  <c r="E64" i="1"/>
  <c r="E60" i="1"/>
  <c r="E52" i="1"/>
  <c r="E47" i="1"/>
  <c r="F45" i="1"/>
  <c r="H45" i="1" s="1"/>
  <c r="K45" i="1" s="1"/>
  <c r="N45" i="1" s="1"/>
  <c r="Q45" i="1" s="1"/>
  <c r="E408" i="1"/>
  <c r="E403" i="1"/>
  <c r="E388" i="1"/>
  <c r="E385" i="1"/>
  <c r="E382" i="1"/>
  <c r="E373" i="1"/>
  <c r="E366" i="1"/>
  <c r="E360" i="1"/>
  <c r="E351" i="1"/>
  <c r="E347" i="1"/>
  <c r="E326" i="1"/>
  <c r="E322" i="1"/>
  <c r="E317" i="1"/>
  <c r="E307" i="1"/>
  <c r="E302" i="1"/>
  <c r="E299" i="1"/>
  <c r="E292" i="1"/>
  <c r="E288" i="1"/>
  <c r="E284" i="1"/>
  <c r="E260" i="1"/>
  <c r="E256" i="1"/>
  <c r="E202" i="1"/>
  <c r="E179" i="1"/>
  <c r="E193" i="1"/>
  <c r="E69" i="1"/>
  <c r="E20" i="1"/>
  <c r="E9" i="1"/>
  <c r="F407" i="1"/>
  <c r="H407" i="1" s="1"/>
  <c r="F397" i="1"/>
  <c r="H397" i="1" s="1"/>
  <c r="K397" i="1" s="1"/>
  <c r="N397" i="1" s="1"/>
  <c r="Q397" i="1" s="1"/>
  <c r="F398" i="1"/>
  <c r="H398" i="1" s="1"/>
  <c r="K398" i="1" s="1"/>
  <c r="N398" i="1" s="1"/>
  <c r="Q398" i="1" s="1"/>
  <c r="F399" i="1"/>
  <c r="H399" i="1" s="1"/>
  <c r="K399" i="1" s="1"/>
  <c r="N399" i="1" s="1"/>
  <c r="Q399" i="1" s="1"/>
  <c r="F400" i="1"/>
  <c r="H400" i="1" s="1"/>
  <c r="K400" i="1" s="1"/>
  <c r="N400" i="1" s="1"/>
  <c r="Q400" i="1" s="1"/>
  <c r="F401" i="1"/>
  <c r="H401" i="1" s="1"/>
  <c r="K401" i="1" s="1"/>
  <c r="N401" i="1" s="1"/>
  <c r="Q401" i="1" s="1"/>
  <c r="F402" i="1"/>
  <c r="H402" i="1" s="1"/>
  <c r="K402" i="1" s="1"/>
  <c r="N402" i="1" s="1"/>
  <c r="Q402" i="1" s="1"/>
  <c r="F396" i="1"/>
  <c r="F391" i="1"/>
  <c r="H391" i="1" s="1"/>
  <c r="K391" i="1" s="1"/>
  <c r="N391" i="1" s="1"/>
  <c r="Q391" i="1" s="1"/>
  <c r="F390" i="1"/>
  <c r="F384" i="1"/>
  <c r="F377" i="1"/>
  <c r="H377" i="1" s="1"/>
  <c r="K377" i="1" s="1"/>
  <c r="N377" i="1" s="1"/>
  <c r="Q377" i="1" s="1"/>
  <c r="F378" i="1"/>
  <c r="H378" i="1" s="1"/>
  <c r="K378" i="1" s="1"/>
  <c r="N378" i="1" s="1"/>
  <c r="Q378" i="1" s="1"/>
  <c r="F379" i="1"/>
  <c r="H379" i="1" s="1"/>
  <c r="K379" i="1" s="1"/>
  <c r="N379" i="1" s="1"/>
  <c r="Q379" i="1" s="1"/>
  <c r="F380" i="1"/>
  <c r="H380" i="1" s="1"/>
  <c r="K380" i="1" s="1"/>
  <c r="N380" i="1" s="1"/>
  <c r="Q380" i="1" s="1"/>
  <c r="F381" i="1"/>
  <c r="H381" i="1" s="1"/>
  <c r="K381" i="1" s="1"/>
  <c r="N381" i="1" s="1"/>
  <c r="Q381" i="1" s="1"/>
  <c r="F375" i="1"/>
  <c r="F369" i="1"/>
  <c r="H369" i="1" s="1"/>
  <c r="K369" i="1" s="1"/>
  <c r="N369" i="1" s="1"/>
  <c r="Q369" i="1" s="1"/>
  <c r="F370" i="1"/>
  <c r="H370" i="1" s="1"/>
  <c r="K370" i="1" s="1"/>
  <c r="N370" i="1" s="1"/>
  <c r="Q370" i="1" s="1"/>
  <c r="F372" i="1"/>
  <c r="H372" i="1" s="1"/>
  <c r="K372" i="1" s="1"/>
  <c r="N372" i="1" s="1"/>
  <c r="Q372" i="1" s="1"/>
  <c r="F365" i="1"/>
  <c r="H365" i="1" s="1"/>
  <c r="K365" i="1" s="1"/>
  <c r="N365" i="1" s="1"/>
  <c r="Q365" i="1" s="1"/>
  <c r="F362" i="1"/>
  <c r="F354" i="1"/>
  <c r="H354" i="1" s="1"/>
  <c r="K354" i="1" s="1"/>
  <c r="N354" i="1" s="1"/>
  <c r="Q354" i="1" s="1"/>
  <c r="F355" i="1"/>
  <c r="H355" i="1" s="1"/>
  <c r="K355" i="1" s="1"/>
  <c r="N355" i="1" s="1"/>
  <c r="Q355" i="1" s="1"/>
  <c r="F356" i="1"/>
  <c r="H356" i="1" s="1"/>
  <c r="K356" i="1" s="1"/>
  <c r="N356" i="1" s="1"/>
  <c r="Q356" i="1" s="1"/>
  <c r="F357" i="1"/>
  <c r="H357" i="1" s="1"/>
  <c r="K357" i="1" s="1"/>
  <c r="N357" i="1" s="1"/>
  <c r="Q357" i="1" s="1"/>
  <c r="F359" i="1"/>
  <c r="H359" i="1" s="1"/>
  <c r="K359" i="1" s="1"/>
  <c r="N359" i="1" s="1"/>
  <c r="Q359" i="1" s="1"/>
  <c r="F353" i="1"/>
  <c r="H353" i="1" s="1"/>
  <c r="K353" i="1" s="1"/>
  <c r="F350" i="1"/>
  <c r="H350" i="1" s="1"/>
  <c r="K350" i="1" s="1"/>
  <c r="N350" i="1" s="1"/>
  <c r="Q350" i="1" s="1"/>
  <c r="F349" i="1"/>
  <c r="H349" i="1" s="1"/>
  <c r="K349" i="1" s="1"/>
  <c r="F346" i="1"/>
  <c r="H346" i="1" s="1"/>
  <c r="K346" i="1" s="1"/>
  <c r="N346" i="1" s="1"/>
  <c r="Q346" i="1" s="1"/>
  <c r="F325" i="1"/>
  <c r="H325" i="1" s="1"/>
  <c r="K325" i="1" s="1"/>
  <c r="N325" i="1" s="1"/>
  <c r="Q325" i="1" s="1"/>
  <c r="F324" i="1"/>
  <c r="F321" i="1"/>
  <c r="H321" i="1" s="1"/>
  <c r="F314" i="1"/>
  <c r="H314" i="1" s="1"/>
  <c r="K314" i="1" s="1"/>
  <c r="N314" i="1" s="1"/>
  <c r="Q314" i="1" s="1"/>
  <c r="F315" i="1"/>
  <c r="H315" i="1" s="1"/>
  <c r="K315" i="1" s="1"/>
  <c r="N315" i="1" s="1"/>
  <c r="Q315" i="1" s="1"/>
  <c r="F316" i="1"/>
  <c r="H316" i="1" s="1"/>
  <c r="K316" i="1" s="1"/>
  <c r="N316" i="1" s="1"/>
  <c r="Q316" i="1" s="1"/>
  <c r="F311" i="1"/>
  <c r="H311" i="1" s="1"/>
  <c r="K311" i="1" s="1"/>
  <c r="N311" i="1" s="1"/>
  <c r="Q311" i="1" s="1"/>
  <c r="F312" i="1"/>
  <c r="H312" i="1" s="1"/>
  <c r="K312" i="1" s="1"/>
  <c r="N312" i="1" s="1"/>
  <c r="Q312" i="1" s="1"/>
  <c r="F313" i="1"/>
  <c r="F309" i="1"/>
  <c r="F305" i="1"/>
  <c r="H305" i="1" s="1"/>
  <c r="K305" i="1" s="1"/>
  <c r="N305" i="1" s="1"/>
  <c r="Q305" i="1" s="1"/>
  <c r="F306" i="1"/>
  <c r="H306" i="1" s="1"/>
  <c r="K306" i="1" s="1"/>
  <c r="N306" i="1" s="1"/>
  <c r="Q306" i="1" s="1"/>
  <c r="F301" i="1"/>
  <c r="H301" i="1" s="1"/>
  <c r="H299" i="1" s="1"/>
  <c r="F295" i="1"/>
  <c r="F294" i="1"/>
  <c r="F290" i="1"/>
  <c r="H290" i="1" s="1"/>
  <c r="F287" i="1"/>
  <c r="H287" i="1" s="1"/>
  <c r="K287" i="1" s="1"/>
  <c r="N287" i="1" s="1"/>
  <c r="Q287" i="1" s="1"/>
  <c r="F286" i="1"/>
  <c r="F265" i="1"/>
  <c r="H265" i="1" s="1"/>
  <c r="K265" i="1" s="1"/>
  <c r="N265" i="1" s="1"/>
  <c r="Q265" i="1" s="1"/>
  <c r="F268" i="1"/>
  <c r="H268" i="1" s="1"/>
  <c r="K268" i="1" s="1"/>
  <c r="N268" i="1" s="1"/>
  <c r="Q268" i="1" s="1"/>
  <c r="F269" i="1"/>
  <c r="H269" i="1" s="1"/>
  <c r="K269" i="1" s="1"/>
  <c r="N269" i="1" s="1"/>
  <c r="Q269" i="1" s="1"/>
  <c r="F270" i="1"/>
  <c r="H270" i="1" s="1"/>
  <c r="K270" i="1" s="1"/>
  <c r="N270" i="1" s="1"/>
  <c r="Q270" i="1" s="1"/>
  <c r="F271" i="1"/>
  <c r="H271" i="1" s="1"/>
  <c r="K271" i="1" s="1"/>
  <c r="N271" i="1" s="1"/>
  <c r="Q271" i="1" s="1"/>
  <c r="F272" i="1"/>
  <c r="H272" i="1" s="1"/>
  <c r="K272" i="1" s="1"/>
  <c r="N272" i="1" s="1"/>
  <c r="Q272" i="1" s="1"/>
  <c r="F273" i="1"/>
  <c r="H273" i="1" s="1"/>
  <c r="K273" i="1" s="1"/>
  <c r="N273" i="1" s="1"/>
  <c r="Q273" i="1" s="1"/>
  <c r="F274" i="1"/>
  <c r="H274" i="1" s="1"/>
  <c r="K274" i="1" s="1"/>
  <c r="N274" i="1" s="1"/>
  <c r="Q274" i="1" s="1"/>
  <c r="F275" i="1"/>
  <c r="H275" i="1" s="1"/>
  <c r="K275" i="1" s="1"/>
  <c r="N275" i="1" s="1"/>
  <c r="Q275" i="1" s="1"/>
  <c r="F276" i="1"/>
  <c r="H276" i="1" s="1"/>
  <c r="K276" i="1" s="1"/>
  <c r="N276" i="1" s="1"/>
  <c r="Q276" i="1" s="1"/>
  <c r="F277" i="1"/>
  <c r="H277" i="1" s="1"/>
  <c r="K277" i="1" s="1"/>
  <c r="N277" i="1" s="1"/>
  <c r="Q277" i="1" s="1"/>
  <c r="F278" i="1"/>
  <c r="H278" i="1" s="1"/>
  <c r="K278" i="1" s="1"/>
  <c r="N278" i="1" s="1"/>
  <c r="Q278" i="1" s="1"/>
  <c r="F263" i="1"/>
  <c r="H263" i="1" s="1"/>
  <c r="K263" i="1" s="1"/>
  <c r="N263" i="1" s="1"/>
  <c r="Q263" i="1" s="1"/>
  <c r="F264" i="1"/>
  <c r="H264" i="1" s="1"/>
  <c r="K264" i="1" s="1"/>
  <c r="N264" i="1" s="1"/>
  <c r="Q264" i="1" s="1"/>
  <c r="F262" i="1"/>
  <c r="F205" i="1"/>
  <c r="H205" i="1" s="1"/>
  <c r="K205" i="1" s="1"/>
  <c r="N205" i="1" s="1"/>
  <c r="Q205" i="1" s="1"/>
  <c r="F206" i="1"/>
  <c r="H206" i="1" s="1"/>
  <c r="K206" i="1" s="1"/>
  <c r="N206" i="1" s="1"/>
  <c r="Q206" i="1" s="1"/>
  <c r="F207" i="1"/>
  <c r="H207" i="1" s="1"/>
  <c r="K207" i="1" s="1"/>
  <c r="N207" i="1" s="1"/>
  <c r="Q207" i="1" s="1"/>
  <c r="F208" i="1"/>
  <c r="H208" i="1" s="1"/>
  <c r="K208" i="1" s="1"/>
  <c r="N208" i="1" s="1"/>
  <c r="Q208" i="1" s="1"/>
  <c r="F210" i="1"/>
  <c r="H210" i="1" s="1"/>
  <c r="K210" i="1" s="1"/>
  <c r="N210" i="1" s="1"/>
  <c r="Q210" i="1" s="1"/>
  <c r="F211" i="1"/>
  <c r="H211" i="1" s="1"/>
  <c r="K211" i="1" s="1"/>
  <c r="N211" i="1" s="1"/>
  <c r="Q211" i="1" s="1"/>
  <c r="F213" i="1"/>
  <c r="H213" i="1" s="1"/>
  <c r="K213" i="1" s="1"/>
  <c r="N213" i="1" s="1"/>
  <c r="Q213" i="1" s="1"/>
  <c r="F215" i="1"/>
  <c r="H215" i="1" s="1"/>
  <c r="K215" i="1" s="1"/>
  <c r="N215" i="1" s="1"/>
  <c r="Q215" i="1" s="1"/>
  <c r="F217" i="1"/>
  <c r="H217" i="1" s="1"/>
  <c r="K217" i="1" s="1"/>
  <c r="N217" i="1" s="1"/>
  <c r="Q217" i="1" s="1"/>
  <c r="F220" i="1"/>
  <c r="H220" i="1" s="1"/>
  <c r="K220" i="1" s="1"/>
  <c r="N220" i="1" s="1"/>
  <c r="Q220" i="1" s="1"/>
  <c r="F222" i="1"/>
  <c r="H222" i="1" s="1"/>
  <c r="K222" i="1" s="1"/>
  <c r="N222" i="1" s="1"/>
  <c r="Q222" i="1" s="1"/>
  <c r="F223" i="1"/>
  <c r="H223" i="1" s="1"/>
  <c r="K223" i="1" s="1"/>
  <c r="N223" i="1" s="1"/>
  <c r="Q223" i="1" s="1"/>
  <c r="F224" i="1"/>
  <c r="H224" i="1" s="1"/>
  <c r="K224" i="1" s="1"/>
  <c r="N224" i="1" s="1"/>
  <c r="Q224" i="1" s="1"/>
  <c r="F225" i="1"/>
  <c r="H225" i="1" s="1"/>
  <c r="K225" i="1" s="1"/>
  <c r="N225" i="1" s="1"/>
  <c r="Q225" i="1" s="1"/>
  <c r="F226" i="1"/>
  <c r="H226" i="1" s="1"/>
  <c r="K226" i="1" s="1"/>
  <c r="N226" i="1" s="1"/>
  <c r="Q226" i="1" s="1"/>
  <c r="F227" i="1"/>
  <c r="H227" i="1" s="1"/>
  <c r="K227" i="1" s="1"/>
  <c r="N227" i="1" s="1"/>
  <c r="Q227" i="1" s="1"/>
  <c r="F229" i="1"/>
  <c r="H229" i="1" s="1"/>
  <c r="K229" i="1" s="1"/>
  <c r="N229" i="1" s="1"/>
  <c r="Q229" i="1" s="1"/>
  <c r="F230" i="1"/>
  <c r="H230" i="1" s="1"/>
  <c r="K230" i="1" s="1"/>
  <c r="N230" i="1" s="1"/>
  <c r="Q230" i="1" s="1"/>
  <c r="F231" i="1"/>
  <c r="H231" i="1" s="1"/>
  <c r="K231" i="1" s="1"/>
  <c r="N231" i="1" s="1"/>
  <c r="Q231" i="1" s="1"/>
  <c r="F232" i="1"/>
  <c r="H232" i="1" s="1"/>
  <c r="K232" i="1" s="1"/>
  <c r="N232" i="1" s="1"/>
  <c r="Q232" i="1" s="1"/>
  <c r="F234" i="1"/>
  <c r="H234" i="1" s="1"/>
  <c r="K234" i="1" s="1"/>
  <c r="N234" i="1" s="1"/>
  <c r="Q234" i="1" s="1"/>
  <c r="F235" i="1"/>
  <c r="H235" i="1" s="1"/>
  <c r="K235" i="1" s="1"/>
  <c r="N235" i="1" s="1"/>
  <c r="Q235" i="1" s="1"/>
  <c r="F236" i="1"/>
  <c r="H236" i="1" s="1"/>
  <c r="K236" i="1" s="1"/>
  <c r="N236" i="1" s="1"/>
  <c r="Q236" i="1" s="1"/>
  <c r="F238" i="1"/>
  <c r="H238" i="1" s="1"/>
  <c r="K238" i="1" s="1"/>
  <c r="N238" i="1" s="1"/>
  <c r="Q238" i="1" s="1"/>
  <c r="F242" i="1"/>
  <c r="H242" i="1" s="1"/>
  <c r="K242" i="1" s="1"/>
  <c r="N242" i="1" s="1"/>
  <c r="Q242" i="1" s="1"/>
  <c r="F243" i="1"/>
  <c r="H243" i="1" s="1"/>
  <c r="K243" i="1" s="1"/>
  <c r="N243" i="1" s="1"/>
  <c r="Q243" i="1" s="1"/>
  <c r="F244" i="1"/>
  <c r="H244" i="1" s="1"/>
  <c r="K244" i="1" s="1"/>
  <c r="N244" i="1" s="1"/>
  <c r="Q244" i="1" s="1"/>
  <c r="F245" i="1"/>
  <c r="H245" i="1" s="1"/>
  <c r="K245" i="1" s="1"/>
  <c r="N245" i="1" s="1"/>
  <c r="Q245" i="1" s="1"/>
  <c r="F246" i="1"/>
  <c r="H246" i="1" s="1"/>
  <c r="K246" i="1" s="1"/>
  <c r="N246" i="1" s="1"/>
  <c r="Q246" i="1" s="1"/>
  <c r="F248" i="1"/>
  <c r="H248" i="1" s="1"/>
  <c r="K248" i="1" s="1"/>
  <c r="N248" i="1" s="1"/>
  <c r="Q248" i="1" s="1"/>
  <c r="F249" i="1"/>
  <c r="H249" i="1" s="1"/>
  <c r="K249" i="1" s="1"/>
  <c r="N249" i="1" s="1"/>
  <c r="Q249" i="1" s="1"/>
  <c r="F255" i="1"/>
  <c r="H255" i="1" s="1"/>
  <c r="K255" i="1" s="1"/>
  <c r="N255" i="1" s="1"/>
  <c r="Q255" i="1" s="1"/>
  <c r="F204" i="1"/>
  <c r="F196" i="1"/>
  <c r="H196" i="1" s="1"/>
  <c r="K196" i="1" s="1"/>
  <c r="N196" i="1" s="1"/>
  <c r="Q196" i="1" s="1"/>
  <c r="F197" i="1"/>
  <c r="H197" i="1" s="1"/>
  <c r="K197" i="1" s="1"/>
  <c r="N197" i="1" s="1"/>
  <c r="Q197" i="1" s="1"/>
  <c r="F198" i="1"/>
  <c r="H198" i="1" s="1"/>
  <c r="K198" i="1" s="1"/>
  <c r="N198" i="1" s="1"/>
  <c r="Q198" i="1" s="1"/>
  <c r="F199" i="1"/>
  <c r="H199" i="1" s="1"/>
  <c r="K199" i="1" s="1"/>
  <c r="N199" i="1" s="1"/>
  <c r="Q199" i="1" s="1"/>
  <c r="F200" i="1"/>
  <c r="H200" i="1" s="1"/>
  <c r="K200" i="1" s="1"/>
  <c r="N200" i="1" s="1"/>
  <c r="Q200" i="1" s="1"/>
  <c r="F182" i="1"/>
  <c r="H182" i="1" s="1"/>
  <c r="K182" i="1" s="1"/>
  <c r="N182" i="1" s="1"/>
  <c r="Q182" i="1" s="1"/>
  <c r="F183" i="1"/>
  <c r="H183" i="1" s="1"/>
  <c r="K183" i="1" s="1"/>
  <c r="N183" i="1" s="1"/>
  <c r="Q183" i="1" s="1"/>
  <c r="F186" i="1"/>
  <c r="H186" i="1" s="1"/>
  <c r="K186" i="1" s="1"/>
  <c r="N186" i="1" s="1"/>
  <c r="Q186" i="1" s="1"/>
  <c r="F187" i="1"/>
  <c r="H187" i="1" s="1"/>
  <c r="K187" i="1" s="1"/>
  <c r="N187" i="1" s="1"/>
  <c r="Q187" i="1" s="1"/>
  <c r="F188" i="1"/>
  <c r="H188" i="1" s="1"/>
  <c r="K188" i="1" s="1"/>
  <c r="N188" i="1" s="1"/>
  <c r="Q188" i="1" s="1"/>
  <c r="F189" i="1"/>
  <c r="H189" i="1" s="1"/>
  <c r="K189" i="1" s="1"/>
  <c r="N189" i="1" s="1"/>
  <c r="Q189" i="1" s="1"/>
  <c r="F190" i="1"/>
  <c r="H190" i="1" s="1"/>
  <c r="K190" i="1" s="1"/>
  <c r="N190" i="1" s="1"/>
  <c r="Q190" i="1" s="1"/>
  <c r="F191" i="1"/>
  <c r="H191" i="1" s="1"/>
  <c r="K191" i="1" s="1"/>
  <c r="N191" i="1" s="1"/>
  <c r="Q191" i="1" s="1"/>
  <c r="F192" i="1"/>
  <c r="H192" i="1" s="1"/>
  <c r="F73" i="1"/>
  <c r="H73" i="1" s="1"/>
  <c r="K73" i="1" s="1"/>
  <c r="N73" i="1" s="1"/>
  <c r="Q73" i="1" s="1"/>
  <c r="F74" i="1"/>
  <c r="H74" i="1" s="1"/>
  <c r="K74" i="1" s="1"/>
  <c r="N74" i="1" s="1"/>
  <c r="Q74" i="1" s="1"/>
  <c r="F75" i="1"/>
  <c r="H75" i="1" s="1"/>
  <c r="K75" i="1" s="1"/>
  <c r="N75" i="1" s="1"/>
  <c r="Q75" i="1" s="1"/>
  <c r="F76" i="1"/>
  <c r="H76" i="1" s="1"/>
  <c r="K76" i="1" s="1"/>
  <c r="N76" i="1" s="1"/>
  <c r="Q76" i="1" s="1"/>
  <c r="F77" i="1"/>
  <c r="H77" i="1" s="1"/>
  <c r="K77" i="1" s="1"/>
  <c r="N77" i="1" s="1"/>
  <c r="Q77" i="1" s="1"/>
  <c r="F82" i="1"/>
  <c r="H82" i="1" s="1"/>
  <c r="K82" i="1" s="1"/>
  <c r="N82" i="1" s="1"/>
  <c r="Q82" i="1" s="1"/>
  <c r="F87" i="1"/>
  <c r="H87" i="1" s="1"/>
  <c r="K87" i="1" s="1"/>
  <c r="N87" i="1" s="1"/>
  <c r="Q87" i="1" s="1"/>
  <c r="F88" i="1"/>
  <c r="H88" i="1" s="1"/>
  <c r="K88" i="1" s="1"/>
  <c r="N88" i="1" s="1"/>
  <c r="Q88" i="1" s="1"/>
  <c r="F93" i="1"/>
  <c r="H93" i="1" s="1"/>
  <c r="K93" i="1" s="1"/>
  <c r="N93" i="1" s="1"/>
  <c r="Q93" i="1" s="1"/>
  <c r="F98" i="1"/>
  <c r="H98" i="1" s="1"/>
  <c r="K98" i="1" s="1"/>
  <c r="N98" i="1" s="1"/>
  <c r="Q98" i="1" s="1"/>
  <c r="F99" i="1"/>
  <c r="H99" i="1" s="1"/>
  <c r="K99" i="1" s="1"/>
  <c r="N99" i="1" s="1"/>
  <c r="Q99" i="1" s="1"/>
  <c r="F100" i="1"/>
  <c r="H100" i="1" s="1"/>
  <c r="K100" i="1" s="1"/>
  <c r="N100" i="1" s="1"/>
  <c r="Q100" i="1" s="1"/>
  <c r="F105" i="1"/>
  <c r="H105" i="1" s="1"/>
  <c r="K105" i="1" s="1"/>
  <c r="N105" i="1" s="1"/>
  <c r="Q105" i="1" s="1"/>
  <c r="F106" i="1"/>
  <c r="H106" i="1" s="1"/>
  <c r="K106" i="1" s="1"/>
  <c r="N106" i="1" s="1"/>
  <c r="Q106" i="1" s="1"/>
  <c r="F112" i="1"/>
  <c r="H112" i="1" s="1"/>
  <c r="K112" i="1" s="1"/>
  <c r="N112" i="1" s="1"/>
  <c r="Q112" i="1" s="1"/>
  <c r="F114" i="1"/>
  <c r="H114" i="1" s="1"/>
  <c r="K114" i="1" s="1"/>
  <c r="N114" i="1" s="1"/>
  <c r="Q114" i="1" s="1"/>
  <c r="F115" i="1"/>
  <c r="H115" i="1" s="1"/>
  <c r="K115" i="1" s="1"/>
  <c r="N115" i="1" s="1"/>
  <c r="Q115" i="1" s="1"/>
  <c r="F117" i="1"/>
  <c r="H117" i="1" s="1"/>
  <c r="K117" i="1" s="1"/>
  <c r="N117" i="1" s="1"/>
  <c r="Q117" i="1" s="1"/>
  <c r="F118" i="1"/>
  <c r="H118" i="1" s="1"/>
  <c r="K118" i="1" s="1"/>
  <c r="N118" i="1" s="1"/>
  <c r="Q118" i="1" s="1"/>
  <c r="F119" i="1"/>
  <c r="H119" i="1" s="1"/>
  <c r="K119" i="1" s="1"/>
  <c r="N119" i="1" s="1"/>
  <c r="Q119" i="1" s="1"/>
  <c r="F121" i="1"/>
  <c r="H121" i="1" s="1"/>
  <c r="K121" i="1" s="1"/>
  <c r="N121" i="1" s="1"/>
  <c r="Q121" i="1" s="1"/>
  <c r="F122" i="1"/>
  <c r="H122" i="1" s="1"/>
  <c r="K122" i="1" s="1"/>
  <c r="N122" i="1" s="1"/>
  <c r="Q122" i="1" s="1"/>
  <c r="F123" i="1"/>
  <c r="H123" i="1" s="1"/>
  <c r="K123" i="1" s="1"/>
  <c r="N123" i="1" s="1"/>
  <c r="Q123" i="1" s="1"/>
  <c r="F124" i="1"/>
  <c r="H124" i="1" s="1"/>
  <c r="K124" i="1" s="1"/>
  <c r="N124" i="1" s="1"/>
  <c r="Q124" i="1" s="1"/>
  <c r="F126" i="1"/>
  <c r="H126" i="1" s="1"/>
  <c r="K126" i="1" s="1"/>
  <c r="N126" i="1" s="1"/>
  <c r="Q126" i="1" s="1"/>
  <c r="F127" i="1"/>
  <c r="H127" i="1" s="1"/>
  <c r="K127" i="1" s="1"/>
  <c r="N127" i="1" s="1"/>
  <c r="Q127" i="1" s="1"/>
  <c r="F131" i="1"/>
  <c r="H131" i="1" s="1"/>
  <c r="K131" i="1" s="1"/>
  <c r="N131" i="1" s="1"/>
  <c r="Q131" i="1" s="1"/>
  <c r="F132" i="1"/>
  <c r="H132" i="1" s="1"/>
  <c r="K132" i="1" s="1"/>
  <c r="N132" i="1" s="1"/>
  <c r="Q132" i="1" s="1"/>
  <c r="F135" i="1"/>
  <c r="H135" i="1" s="1"/>
  <c r="K135" i="1" s="1"/>
  <c r="N135" i="1" s="1"/>
  <c r="Q135" i="1" s="1"/>
  <c r="F136" i="1"/>
  <c r="H136" i="1" s="1"/>
  <c r="K136" i="1" s="1"/>
  <c r="N136" i="1" s="1"/>
  <c r="Q136" i="1" s="1"/>
  <c r="F156" i="1"/>
  <c r="H156" i="1" s="1"/>
  <c r="K156" i="1" s="1"/>
  <c r="N156" i="1" s="1"/>
  <c r="Q156" i="1" s="1"/>
  <c r="F157" i="1"/>
  <c r="H157" i="1" s="1"/>
  <c r="K157" i="1" s="1"/>
  <c r="N157" i="1" s="1"/>
  <c r="Q157" i="1" s="1"/>
  <c r="F158" i="1"/>
  <c r="H158" i="1" s="1"/>
  <c r="K158" i="1" s="1"/>
  <c r="N158" i="1" s="1"/>
  <c r="Q158" i="1" s="1"/>
  <c r="F159" i="1"/>
  <c r="H159" i="1" s="1"/>
  <c r="K159" i="1" s="1"/>
  <c r="N159" i="1" s="1"/>
  <c r="Q159" i="1" s="1"/>
  <c r="F160" i="1"/>
  <c r="H160" i="1" s="1"/>
  <c r="K160" i="1" s="1"/>
  <c r="N160" i="1" s="1"/>
  <c r="Q160" i="1" s="1"/>
  <c r="F161" i="1"/>
  <c r="H161" i="1" s="1"/>
  <c r="K161" i="1" s="1"/>
  <c r="N161" i="1" s="1"/>
  <c r="Q161" i="1" s="1"/>
  <c r="F162" i="1"/>
  <c r="H162" i="1" s="1"/>
  <c r="K162" i="1" s="1"/>
  <c r="N162" i="1" s="1"/>
  <c r="Q162" i="1" s="1"/>
  <c r="F163" i="1"/>
  <c r="H163" i="1" s="1"/>
  <c r="K163" i="1" s="1"/>
  <c r="N163" i="1" s="1"/>
  <c r="Q163" i="1" s="1"/>
  <c r="F164" i="1"/>
  <c r="H164" i="1" s="1"/>
  <c r="K164" i="1" s="1"/>
  <c r="N164" i="1" s="1"/>
  <c r="Q164" i="1" s="1"/>
  <c r="F165" i="1"/>
  <c r="H165" i="1" s="1"/>
  <c r="K165" i="1" s="1"/>
  <c r="N165" i="1" s="1"/>
  <c r="Q165" i="1" s="1"/>
  <c r="F166" i="1"/>
  <c r="H166" i="1" s="1"/>
  <c r="K166" i="1" s="1"/>
  <c r="N166" i="1" s="1"/>
  <c r="Q166" i="1" s="1"/>
  <c r="F167" i="1"/>
  <c r="H167" i="1" s="1"/>
  <c r="K167" i="1" s="1"/>
  <c r="N167" i="1" s="1"/>
  <c r="Q167" i="1" s="1"/>
  <c r="F168" i="1"/>
  <c r="H168" i="1" s="1"/>
  <c r="K168" i="1" s="1"/>
  <c r="N168" i="1" s="1"/>
  <c r="Q168" i="1" s="1"/>
  <c r="F169" i="1"/>
  <c r="H169" i="1" s="1"/>
  <c r="K169" i="1" s="1"/>
  <c r="N169" i="1" s="1"/>
  <c r="Q169" i="1" s="1"/>
  <c r="F170" i="1"/>
  <c r="H170" i="1" s="1"/>
  <c r="K170" i="1" s="1"/>
  <c r="N170" i="1" s="1"/>
  <c r="Q170" i="1" s="1"/>
  <c r="F171" i="1"/>
  <c r="H171" i="1" s="1"/>
  <c r="K171" i="1" s="1"/>
  <c r="N171" i="1" s="1"/>
  <c r="Q171" i="1" s="1"/>
  <c r="F172" i="1"/>
  <c r="H172" i="1" s="1"/>
  <c r="K172" i="1" s="1"/>
  <c r="N172" i="1" s="1"/>
  <c r="Q172" i="1" s="1"/>
  <c r="F173" i="1"/>
  <c r="H173" i="1" s="1"/>
  <c r="K173" i="1" s="1"/>
  <c r="N173" i="1" s="1"/>
  <c r="Q173" i="1" s="1"/>
  <c r="F175" i="1"/>
  <c r="H175" i="1" s="1"/>
  <c r="K175" i="1" s="1"/>
  <c r="N175" i="1" s="1"/>
  <c r="Q175" i="1" s="1"/>
  <c r="F176" i="1"/>
  <c r="H176" i="1" s="1"/>
  <c r="K176" i="1" s="1"/>
  <c r="N176" i="1" s="1"/>
  <c r="Q176" i="1" s="1"/>
  <c r="F177" i="1"/>
  <c r="H177" i="1" s="1"/>
  <c r="K177" i="1" s="1"/>
  <c r="N177" i="1" s="1"/>
  <c r="Q177" i="1" s="1"/>
  <c r="F67" i="1"/>
  <c r="H67" i="1" s="1"/>
  <c r="K67" i="1" s="1"/>
  <c r="N67" i="1" s="1"/>
  <c r="Q67" i="1" s="1"/>
  <c r="F68" i="1"/>
  <c r="H68" i="1" s="1"/>
  <c r="K68" i="1" s="1"/>
  <c r="N68" i="1" s="1"/>
  <c r="Q68" i="1" s="1"/>
  <c r="F66" i="1"/>
  <c r="F55" i="1"/>
  <c r="H55" i="1" s="1"/>
  <c r="K55" i="1" s="1"/>
  <c r="N55" i="1" s="1"/>
  <c r="Q55" i="1" s="1"/>
  <c r="F56" i="1"/>
  <c r="H56" i="1" s="1"/>
  <c r="K56" i="1" s="1"/>
  <c r="N56" i="1" s="1"/>
  <c r="Q56" i="1" s="1"/>
  <c r="F57" i="1"/>
  <c r="H57" i="1" s="1"/>
  <c r="K57" i="1" s="1"/>
  <c r="N57" i="1" s="1"/>
  <c r="Q57" i="1" s="1"/>
  <c r="F58" i="1"/>
  <c r="H58" i="1" s="1"/>
  <c r="K58" i="1" s="1"/>
  <c r="N58" i="1" s="1"/>
  <c r="Q58" i="1" s="1"/>
  <c r="F50" i="1"/>
  <c r="H50" i="1" s="1"/>
  <c r="K50" i="1" s="1"/>
  <c r="N50" i="1" s="1"/>
  <c r="Q50" i="1" s="1"/>
  <c r="F49" i="1"/>
  <c r="F13" i="1"/>
  <c r="H13" i="1" s="1"/>
  <c r="K13" i="1" s="1"/>
  <c r="N13" i="1" s="1"/>
  <c r="Q13" i="1" s="1"/>
  <c r="F14" i="1"/>
  <c r="H14" i="1" s="1"/>
  <c r="K14" i="1" s="1"/>
  <c r="N14" i="1" s="1"/>
  <c r="Q14" i="1" s="1"/>
  <c r="F15" i="1"/>
  <c r="H15" i="1" s="1"/>
  <c r="K15" i="1" s="1"/>
  <c r="N15" i="1" s="1"/>
  <c r="Q15" i="1" s="1"/>
  <c r="F16" i="1"/>
  <c r="H16" i="1" s="1"/>
  <c r="K16" i="1" s="1"/>
  <c r="N16" i="1" s="1"/>
  <c r="Q16" i="1" s="1"/>
  <c r="F17" i="1"/>
  <c r="H17" i="1" s="1"/>
  <c r="K17" i="1" s="1"/>
  <c r="N17" i="1" s="1"/>
  <c r="Q17" i="1" s="1"/>
  <c r="F19" i="1"/>
  <c r="H19" i="1" s="1"/>
  <c r="K19" i="1" s="1"/>
  <c r="N19" i="1" s="1"/>
  <c r="Q19" i="1" s="1"/>
  <c r="F7" i="1"/>
  <c r="H7" i="1" s="1"/>
  <c r="K7" i="1" s="1"/>
  <c r="N7" i="1" s="1"/>
  <c r="Q7" i="1" s="1"/>
  <c r="F62" i="1"/>
  <c r="H62" i="1" s="1"/>
  <c r="K62" i="1" s="1"/>
  <c r="D387" i="1"/>
  <c r="D385" i="1" s="1"/>
  <c r="F368" i="1"/>
  <c r="D317" i="1"/>
  <c r="D310" i="1"/>
  <c r="F310" i="1" s="1"/>
  <c r="D291" i="1"/>
  <c r="F291" i="1" s="1"/>
  <c r="H291" i="1" s="1"/>
  <c r="F259" i="1"/>
  <c r="D195" i="1"/>
  <c r="F195" i="1" s="1"/>
  <c r="D201" i="1"/>
  <c r="F201" i="1" s="1"/>
  <c r="F63" i="1"/>
  <c r="D33" i="1"/>
  <c r="F33" i="1" s="1"/>
  <c r="H33" i="1" s="1"/>
  <c r="K33" i="1" s="1"/>
  <c r="N33" i="1" s="1"/>
  <c r="Q33" i="1" s="1"/>
  <c r="D328" i="1"/>
  <c r="D326" i="1" s="1"/>
  <c r="F181" i="1"/>
  <c r="H181" i="1" s="1"/>
  <c r="K181" i="1" s="1"/>
  <c r="D71" i="1"/>
  <c r="F71" i="1" s="1"/>
  <c r="F129" i="1"/>
  <c r="H129" i="1" s="1"/>
  <c r="K129" i="1" s="1"/>
  <c r="N129" i="1" s="1"/>
  <c r="Q129" i="1" s="1"/>
  <c r="F128" i="1"/>
  <c r="H128" i="1" s="1"/>
  <c r="K128" i="1" s="1"/>
  <c r="N128" i="1" s="1"/>
  <c r="Q128" i="1" s="1"/>
  <c r="D59" i="1"/>
  <c r="F59" i="1" s="1"/>
  <c r="H59" i="1" s="1"/>
  <c r="K59" i="1" s="1"/>
  <c r="N59" i="1" s="1"/>
  <c r="Q59" i="1" s="1"/>
  <c r="D54" i="1"/>
  <c r="F54" i="1" s="1"/>
  <c r="D40" i="1"/>
  <c r="F40" i="1" s="1"/>
  <c r="H40" i="1" s="1"/>
  <c r="K40" i="1" s="1"/>
  <c r="N40" i="1" s="1"/>
  <c r="Q40" i="1" s="1"/>
  <c r="D12" i="1"/>
  <c r="F12" i="1" s="1"/>
  <c r="D408" i="1"/>
  <c r="C408" i="1"/>
  <c r="D403" i="1"/>
  <c r="C403" i="1"/>
  <c r="D388" i="1"/>
  <c r="C388" i="1"/>
  <c r="C385" i="1"/>
  <c r="D382" i="1"/>
  <c r="C382" i="1"/>
  <c r="D376" i="1"/>
  <c r="D373" i="1" s="1"/>
  <c r="C373" i="1"/>
  <c r="C366" i="1"/>
  <c r="D360" i="1"/>
  <c r="C360" i="1"/>
  <c r="D351" i="1"/>
  <c r="C351" i="1"/>
  <c r="D347" i="1"/>
  <c r="C347" i="1"/>
  <c r="C326" i="1"/>
  <c r="D322" i="1"/>
  <c r="C322" i="1"/>
  <c r="C317" i="1"/>
  <c r="C307" i="1"/>
  <c r="D304" i="1"/>
  <c r="F304" i="1" s="1"/>
  <c r="C302" i="1"/>
  <c r="D299" i="1"/>
  <c r="C299" i="1"/>
  <c r="D292" i="1"/>
  <c r="D284" i="1"/>
  <c r="D283" i="1"/>
  <c r="F283" i="1" s="1"/>
  <c r="H283" i="1" s="1"/>
  <c r="D202" i="1"/>
  <c r="F178" i="1"/>
  <c r="H178" i="1" s="1"/>
  <c r="D155" i="1"/>
  <c r="F155" i="1" s="1"/>
  <c r="H155" i="1" s="1"/>
  <c r="K155" i="1" s="1"/>
  <c r="N155" i="1" s="1"/>
  <c r="Q155" i="1" s="1"/>
  <c r="D154" i="1"/>
  <c r="F154" i="1" s="1"/>
  <c r="H154" i="1" s="1"/>
  <c r="K154" i="1" s="1"/>
  <c r="N154" i="1" s="1"/>
  <c r="Q154" i="1" s="1"/>
  <c r="D153" i="1"/>
  <c r="F153" i="1" s="1"/>
  <c r="H153" i="1" s="1"/>
  <c r="K153" i="1" s="1"/>
  <c r="N153" i="1" s="1"/>
  <c r="Q153" i="1" s="1"/>
  <c r="D152" i="1"/>
  <c r="F152" i="1" s="1"/>
  <c r="H152" i="1" s="1"/>
  <c r="K152" i="1" s="1"/>
  <c r="N152" i="1" s="1"/>
  <c r="Q152" i="1" s="1"/>
  <c r="D151" i="1"/>
  <c r="F151" i="1" s="1"/>
  <c r="H151" i="1" s="1"/>
  <c r="K151" i="1" s="1"/>
  <c r="N151" i="1" s="1"/>
  <c r="Q151" i="1" s="1"/>
  <c r="D150" i="1"/>
  <c r="F150" i="1" s="1"/>
  <c r="H150" i="1" s="1"/>
  <c r="K150" i="1" s="1"/>
  <c r="N150" i="1" s="1"/>
  <c r="Q150" i="1" s="1"/>
  <c r="D149" i="1"/>
  <c r="F149" i="1" s="1"/>
  <c r="H149" i="1" s="1"/>
  <c r="K149" i="1" s="1"/>
  <c r="N149" i="1" s="1"/>
  <c r="Q149" i="1" s="1"/>
  <c r="D148" i="1"/>
  <c r="F148" i="1" s="1"/>
  <c r="H148" i="1" s="1"/>
  <c r="K148" i="1" s="1"/>
  <c r="N148" i="1" s="1"/>
  <c r="Q148" i="1" s="1"/>
  <c r="D147" i="1"/>
  <c r="F147" i="1" s="1"/>
  <c r="H147" i="1" s="1"/>
  <c r="K147" i="1" s="1"/>
  <c r="N147" i="1" s="1"/>
  <c r="Q147" i="1" s="1"/>
  <c r="D146" i="1"/>
  <c r="F146" i="1" s="1"/>
  <c r="H146" i="1" s="1"/>
  <c r="K146" i="1" s="1"/>
  <c r="N146" i="1" s="1"/>
  <c r="Q146" i="1" s="1"/>
  <c r="D145" i="1"/>
  <c r="F145" i="1" s="1"/>
  <c r="H145" i="1" s="1"/>
  <c r="K145" i="1" s="1"/>
  <c r="N145" i="1" s="1"/>
  <c r="Q145" i="1" s="1"/>
  <c r="D144" i="1"/>
  <c r="F144" i="1" s="1"/>
  <c r="H144" i="1" s="1"/>
  <c r="K144" i="1" s="1"/>
  <c r="N144" i="1" s="1"/>
  <c r="Q144" i="1" s="1"/>
  <c r="D143" i="1"/>
  <c r="F143" i="1" s="1"/>
  <c r="H143" i="1" s="1"/>
  <c r="K143" i="1" s="1"/>
  <c r="N143" i="1" s="1"/>
  <c r="Q143" i="1" s="1"/>
  <c r="D64" i="1"/>
  <c r="D51" i="1"/>
  <c r="F51" i="1" s="1"/>
  <c r="K347" i="1" l="1"/>
  <c r="K283" i="1"/>
  <c r="N283" i="1" s="1"/>
  <c r="Q283" i="1" s="1"/>
  <c r="K321" i="1"/>
  <c r="N321" i="1" s="1"/>
  <c r="Q321" i="1" s="1"/>
  <c r="K351" i="1"/>
  <c r="K192" i="1"/>
  <c r="K179" i="1" s="1"/>
  <c r="K178" i="1"/>
  <c r="N178" i="1" s="1"/>
  <c r="Q178" i="1" s="1"/>
  <c r="K8" i="1"/>
  <c r="N8" i="1" s="1"/>
  <c r="Q8" i="1" s="1"/>
  <c r="K6" i="1"/>
  <c r="N6" i="1" s="1"/>
  <c r="Q6" i="1" s="1"/>
  <c r="K291" i="1"/>
  <c r="N291" i="1" s="1"/>
  <c r="Q291" i="1" s="1"/>
  <c r="H179" i="1"/>
  <c r="H288" i="1"/>
  <c r="N349" i="1"/>
  <c r="Q349" i="1" s="1"/>
  <c r="H347" i="1"/>
  <c r="N353" i="1"/>
  <c r="Q353" i="1" s="1"/>
  <c r="H351" i="1"/>
  <c r="H9" i="1"/>
  <c r="K290" i="1"/>
  <c r="N290" i="1" s="1"/>
  <c r="Q290" i="1" s="1"/>
  <c r="K301" i="1"/>
  <c r="N301" i="1" s="1"/>
  <c r="Q301" i="1" s="1"/>
  <c r="N181" i="1"/>
  <c r="Q181" i="1" s="1"/>
  <c r="N62" i="1"/>
  <c r="Q62" i="1" s="1"/>
  <c r="K5" i="1"/>
  <c r="N5" i="1" s="1"/>
  <c r="Q5" i="1" s="1"/>
  <c r="H71" i="1"/>
  <c r="H69" i="1" s="1"/>
  <c r="H295" i="1"/>
  <c r="H201" i="1"/>
  <c r="H46" i="1"/>
  <c r="K46" i="1" s="1"/>
  <c r="N46" i="1" s="1"/>
  <c r="Q46" i="1" s="1"/>
  <c r="H310" i="1"/>
  <c r="H313" i="1"/>
  <c r="K313" i="1" s="1"/>
  <c r="N313" i="1" s="1"/>
  <c r="Q313" i="1" s="1"/>
  <c r="H51" i="1"/>
  <c r="K51" i="1" s="1"/>
  <c r="N51" i="1" s="1"/>
  <c r="Q51" i="1" s="1"/>
  <c r="H63" i="1"/>
  <c r="I407" i="1"/>
  <c r="K407" i="1" s="1"/>
  <c r="N407" i="1" s="1"/>
  <c r="Q407" i="1" s="1"/>
  <c r="F60" i="1"/>
  <c r="F64" i="1"/>
  <c r="H66" i="1"/>
  <c r="H64" i="1" s="1"/>
  <c r="F288" i="1"/>
  <c r="H384" i="1"/>
  <c r="F382" i="1"/>
  <c r="F52" i="1"/>
  <c r="H54" i="1"/>
  <c r="H52" i="1" s="1"/>
  <c r="H49" i="1"/>
  <c r="F47" i="1"/>
  <c r="F179" i="1"/>
  <c r="F202" i="1"/>
  <c r="H204" i="1"/>
  <c r="H202" i="1" s="1"/>
  <c r="F284" i="1"/>
  <c r="H286" i="1"/>
  <c r="F9" i="1"/>
  <c r="H294" i="1"/>
  <c r="F292" i="1"/>
  <c r="F360" i="1"/>
  <c r="H362" i="1"/>
  <c r="F388" i="1"/>
  <c r="H390" i="1"/>
  <c r="H309" i="1"/>
  <c r="K309" i="1" s="1"/>
  <c r="F307" i="1"/>
  <c r="F69" i="1"/>
  <c r="F322" i="1"/>
  <c r="H324" i="1"/>
  <c r="H322" i="1" s="1"/>
  <c r="F302" i="1"/>
  <c r="H304" i="1"/>
  <c r="H302" i="1" s="1"/>
  <c r="F20" i="1"/>
  <c r="H12" i="1"/>
  <c r="H20" i="1" s="1"/>
  <c r="F193" i="1"/>
  <c r="H195" i="1"/>
  <c r="K195" i="1" s="1"/>
  <c r="F299" i="1"/>
  <c r="F403" i="1"/>
  <c r="H396" i="1"/>
  <c r="F256" i="1"/>
  <c r="H259" i="1"/>
  <c r="H256" i="1" s="1"/>
  <c r="K256" i="1" s="1"/>
  <c r="N256" i="1" s="1"/>
  <c r="Q256" i="1" s="1"/>
  <c r="F347" i="1"/>
  <c r="H375" i="1"/>
  <c r="F24" i="1"/>
  <c r="H27" i="1"/>
  <c r="K27" i="1" s="1"/>
  <c r="N27" i="1" s="1"/>
  <c r="Q27" i="1" s="1"/>
  <c r="H262" i="1"/>
  <c r="H260" i="1" s="1"/>
  <c r="F260" i="1"/>
  <c r="F351" i="1"/>
  <c r="F366" i="1"/>
  <c r="H368" i="1"/>
  <c r="G404" i="1"/>
  <c r="D24" i="1"/>
  <c r="D256" i="1"/>
  <c r="E392" i="1"/>
  <c r="F319" i="1"/>
  <c r="H319" i="1" s="1"/>
  <c r="E296" i="1"/>
  <c r="F376" i="1"/>
  <c r="H376" i="1" s="1"/>
  <c r="F408" i="1"/>
  <c r="H408" i="1" s="1"/>
  <c r="F328" i="1"/>
  <c r="H328" i="1" s="1"/>
  <c r="H326" i="1" s="1"/>
  <c r="F387" i="1"/>
  <c r="E21" i="1"/>
  <c r="D307" i="1"/>
  <c r="D193" i="1"/>
  <c r="D60" i="1"/>
  <c r="D179" i="1"/>
  <c r="D366" i="1"/>
  <c r="D9" i="1"/>
  <c r="D52" i="1"/>
  <c r="D69" i="1"/>
  <c r="D302" i="1"/>
  <c r="D20" i="1"/>
  <c r="C392" i="1"/>
  <c r="D260" i="1"/>
  <c r="D47" i="1"/>
  <c r="D288" i="1"/>
  <c r="N351" i="1" l="1"/>
  <c r="Q351" i="1" s="1"/>
  <c r="N192" i="1"/>
  <c r="Q192" i="1" s="1"/>
  <c r="H284" i="1"/>
  <c r="K286" i="1"/>
  <c r="K284" i="1" s="1"/>
  <c r="K201" i="1"/>
  <c r="N201" i="1" s="1"/>
  <c r="Q201" i="1" s="1"/>
  <c r="K310" i="1"/>
  <c r="K307" i="1" s="1"/>
  <c r="K295" i="1"/>
  <c r="N295" i="1" s="1"/>
  <c r="Q295" i="1" s="1"/>
  <c r="K376" i="1"/>
  <c r="N376" i="1" s="1"/>
  <c r="Q376" i="1" s="1"/>
  <c r="H317" i="1"/>
  <c r="K319" i="1"/>
  <c r="K317" i="1" s="1"/>
  <c r="H193" i="1"/>
  <c r="K9" i="1"/>
  <c r="K63" i="1"/>
  <c r="K60" i="1" s="1"/>
  <c r="K288" i="1"/>
  <c r="H21" i="1"/>
  <c r="H47" i="1"/>
  <c r="K47" i="1" s="1"/>
  <c r="N47" i="1" s="1"/>
  <c r="Q47" i="1" s="1"/>
  <c r="H292" i="1"/>
  <c r="K368" i="1"/>
  <c r="N368" i="1" s="1"/>
  <c r="Q368" i="1" s="1"/>
  <c r="H366" i="1"/>
  <c r="K366" i="1" s="1"/>
  <c r="N366" i="1" s="1"/>
  <c r="Q366" i="1" s="1"/>
  <c r="H307" i="1"/>
  <c r="N179" i="1"/>
  <c r="Q179" i="1" s="1"/>
  <c r="K375" i="1"/>
  <c r="H373" i="1"/>
  <c r="K396" i="1"/>
  <c r="N396" i="1" s="1"/>
  <c r="Q396" i="1" s="1"/>
  <c r="H403" i="1"/>
  <c r="K390" i="1"/>
  <c r="N390" i="1" s="1"/>
  <c r="Q390" i="1" s="1"/>
  <c r="H388" i="1"/>
  <c r="K388" i="1" s="1"/>
  <c r="N388" i="1" s="1"/>
  <c r="Q388" i="1" s="1"/>
  <c r="K362" i="1"/>
  <c r="N362" i="1" s="1"/>
  <c r="Q362" i="1" s="1"/>
  <c r="H360" i="1"/>
  <c r="K360" i="1" s="1"/>
  <c r="N360" i="1" s="1"/>
  <c r="Q360" i="1" s="1"/>
  <c r="K384" i="1"/>
  <c r="N384" i="1" s="1"/>
  <c r="Q384" i="1" s="1"/>
  <c r="H382" i="1"/>
  <c r="K382" i="1" s="1"/>
  <c r="N382" i="1" s="1"/>
  <c r="Q382" i="1" s="1"/>
  <c r="H24" i="1"/>
  <c r="N347" i="1"/>
  <c r="Q347" i="1" s="1"/>
  <c r="H60" i="1"/>
  <c r="K322" i="1"/>
  <c r="N322" i="1" s="1"/>
  <c r="Q322" i="1" s="1"/>
  <c r="K294" i="1"/>
  <c r="K328" i="1"/>
  <c r="N328" i="1" s="1"/>
  <c r="Q328" i="1" s="1"/>
  <c r="K304" i="1"/>
  <c r="N304" i="1" s="1"/>
  <c r="Q304" i="1" s="1"/>
  <c r="K302" i="1"/>
  <c r="N302" i="1" s="1"/>
  <c r="Q302" i="1" s="1"/>
  <c r="K324" i="1"/>
  <c r="N324" i="1" s="1"/>
  <c r="Q324" i="1" s="1"/>
  <c r="K259" i="1"/>
  <c r="N259" i="1" s="1"/>
  <c r="Q259" i="1" s="1"/>
  <c r="N309" i="1"/>
  <c r="Q309" i="1" s="1"/>
  <c r="K262" i="1"/>
  <c r="N195" i="1"/>
  <c r="Q195" i="1" s="1"/>
  <c r="K204" i="1"/>
  <c r="N204" i="1" s="1"/>
  <c r="Q204" i="1" s="1"/>
  <c r="K202" i="1"/>
  <c r="N202" i="1" s="1"/>
  <c r="Q202" i="1" s="1"/>
  <c r="K49" i="1"/>
  <c r="N49" i="1" s="1"/>
  <c r="Q49" i="1" s="1"/>
  <c r="I408" i="1"/>
  <c r="K408" i="1" s="1"/>
  <c r="N408" i="1" s="1"/>
  <c r="Q408" i="1" s="1"/>
  <c r="K12" i="1"/>
  <c r="N12" i="1" s="1"/>
  <c r="Q12" i="1" s="1"/>
  <c r="K52" i="1"/>
  <c r="N52" i="1" s="1"/>
  <c r="Q52" i="1" s="1"/>
  <c r="K54" i="1"/>
  <c r="N54" i="1" s="1"/>
  <c r="Q54" i="1" s="1"/>
  <c r="K66" i="1"/>
  <c r="N66" i="1" s="1"/>
  <c r="Q66" i="1" s="1"/>
  <c r="K64" i="1"/>
  <c r="N64" i="1" s="1"/>
  <c r="Q64" i="1" s="1"/>
  <c r="K71" i="1"/>
  <c r="F373" i="1"/>
  <c r="F317" i="1"/>
  <c r="F296" i="1"/>
  <c r="H387" i="1"/>
  <c r="K387" i="1" s="1"/>
  <c r="F385" i="1"/>
  <c r="K299" i="1"/>
  <c r="F326" i="1"/>
  <c r="E393" i="1"/>
  <c r="E404" i="1" s="1"/>
  <c r="D392" i="1"/>
  <c r="D21" i="1"/>
  <c r="F21" i="1" s="1"/>
  <c r="C393" i="1"/>
  <c r="C404" i="1" s="1"/>
  <c r="D296" i="1"/>
  <c r="N288" i="1" l="1"/>
  <c r="Q288" i="1" s="1"/>
  <c r="N286" i="1"/>
  <c r="N317" i="1"/>
  <c r="Q317" i="1" s="1"/>
  <c r="N310" i="1"/>
  <c r="Q310" i="1" s="1"/>
  <c r="N319" i="1"/>
  <c r="Q319" i="1" s="1"/>
  <c r="N299" i="1"/>
  <c r="Q299" i="1" s="1"/>
  <c r="K193" i="1"/>
  <c r="N193" i="1" s="1"/>
  <c r="Q193" i="1" s="1"/>
  <c r="N9" i="1"/>
  <c r="Q9" i="1" s="1"/>
  <c r="N294" i="1"/>
  <c r="Q294" i="1" s="1"/>
  <c r="K292" i="1"/>
  <c r="N292" i="1" s="1"/>
  <c r="Q292" i="1" s="1"/>
  <c r="N71" i="1"/>
  <c r="Q71" i="1" s="1"/>
  <c r="K69" i="1"/>
  <c r="N69" i="1" s="1"/>
  <c r="Q69" i="1" s="1"/>
  <c r="N262" i="1"/>
  <c r="Q262" i="1" s="1"/>
  <c r="K260" i="1"/>
  <c r="N260" i="1" s="1"/>
  <c r="Q260" i="1" s="1"/>
  <c r="N375" i="1"/>
  <c r="Q375" i="1" s="1"/>
  <c r="K373" i="1"/>
  <c r="N373" i="1" s="1"/>
  <c r="Q373" i="1" s="1"/>
  <c r="N307" i="1"/>
  <c r="Q307" i="1" s="1"/>
  <c r="N63" i="1"/>
  <c r="Q63" i="1" s="1"/>
  <c r="N60" i="1"/>
  <c r="Q60" i="1" s="1"/>
  <c r="K385" i="1"/>
  <c r="N385" i="1" s="1"/>
  <c r="Q385" i="1" s="1"/>
  <c r="N387" i="1"/>
  <c r="Q387" i="1" s="1"/>
  <c r="K20" i="1"/>
  <c r="N20" i="1" s="1"/>
  <c r="Q20" i="1" s="1"/>
  <c r="H296" i="1"/>
  <c r="H385" i="1"/>
  <c r="H392" i="1" s="1"/>
  <c r="K326" i="1"/>
  <c r="N326" i="1" s="1"/>
  <c r="Q326" i="1" s="1"/>
  <c r="K24" i="1"/>
  <c r="F392" i="1"/>
  <c r="D393" i="1"/>
  <c r="D404" i="1" s="1"/>
  <c r="Q286" i="1" l="1"/>
  <c r="N284" i="1"/>
  <c r="Q284" i="1" s="1"/>
  <c r="K21" i="1"/>
  <c r="N21" i="1" s="1"/>
  <c r="Q21" i="1" s="1"/>
  <c r="K392" i="1"/>
  <c r="N392" i="1" s="1"/>
  <c r="Q392" i="1" s="1"/>
  <c r="N24" i="1"/>
  <c r="Q24" i="1" s="1"/>
  <c r="K296" i="1"/>
  <c r="N296" i="1" s="1"/>
  <c r="Q296" i="1" s="1"/>
  <c r="H393" i="1"/>
  <c r="H404" i="1" s="1"/>
  <c r="F393" i="1"/>
  <c r="F404" i="1"/>
  <c r="K403" i="1"/>
  <c r="N403" i="1" s="1"/>
  <c r="Q403" i="1" s="1"/>
  <c r="K393" i="1" l="1"/>
  <c r="N393" i="1" l="1"/>
  <c r="Q393" i="1" s="1"/>
  <c r="K404" i="1"/>
  <c r="N404" i="1" s="1"/>
  <c r="Q404" i="1" s="1"/>
</calcChain>
</file>

<file path=xl/sharedStrings.xml><?xml version="1.0" encoding="utf-8"?>
<sst xmlns="http://schemas.openxmlformats.org/spreadsheetml/2006/main" count="659" uniqueCount="393">
  <si>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</si>
  <si>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</si>
  <si>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</si>
  <si>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</si>
  <si>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</si>
  <si>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</si>
  <si>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</si>
  <si>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</si>
  <si>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</si>
  <si>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</si>
  <si>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</si>
  <si>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</si>
  <si>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</si>
  <si>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</si>
  <si>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</si>
  <si>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</si>
  <si>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</si>
  <si>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</si>
  <si>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</si>
  <si>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</si>
  <si>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</si>
  <si>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</si>
  <si>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</si>
  <si>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</si>
  <si>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</si>
  <si>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</si>
  <si>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</si>
  <si>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</si>
  <si>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</si>
  <si>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</si>
  <si>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</si>
  <si>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</si>
  <si>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</si>
  <si>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</si>
  <si>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</si>
  <si>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</si>
  <si>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</si>
  <si>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</si>
  <si>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</si>
  <si>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</si>
  <si>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</si>
  <si>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</si>
  <si>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</si>
  <si>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</si>
  <si>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</si>
  <si>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</si>
  <si>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</si>
  <si>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</si>
  <si>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</si>
  <si>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</si>
  <si>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</si>
  <si>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</si>
  <si>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</si>
  <si>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</si>
  <si>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</si>
  <si>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</si>
  <si>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</si>
  <si>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</si>
  <si>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</si>
  <si>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</si>
  <si>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</si>
  <si>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</si>
  <si>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</si>
  <si>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</si>
  <si>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</si>
  <si>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</si>
  <si>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</si>
  <si>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</si>
  <si>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</si>
  <si>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</si>
  <si>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</si>
  <si>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</si>
  <si>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</si>
  <si>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</si>
  <si>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</si>
  <si>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</si>
  <si>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</si>
  <si>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</si>
  <si>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</si>
  <si>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</si>
  <si>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</si>
  <si>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</si>
  <si>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</si>
  <si>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</si>
  <si>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</si>
  <si>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</si>
  <si>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</si>
  <si>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</si>
  <si>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</si>
  <si>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</si>
  <si>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</si>
  <si>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</si>
  <si>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</si>
  <si>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</si>
  <si>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</si>
  <si>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</si>
  <si>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</si>
  <si>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</si>
  <si>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</si>
  <si>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</si>
  <si>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</si>
  <si>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</si>
  <si>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</si>
  <si>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</si>
  <si>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</si>
  <si>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</si>
  <si>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</si>
  <si>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</si>
  <si>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</si>
  <si>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</si>
  <si>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</si>
  <si>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</si>
  <si>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</si>
  <si>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</si>
  <si>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</si>
  <si>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</si>
  <si>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</si>
  <si>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</si>
  <si>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</si>
  <si>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</si>
  <si>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</si>
  <si>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</si>
  <si>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</si>
  <si>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</si>
  <si>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</si>
  <si>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</si>
  <si>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</si>
  <si>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</si>
  <si>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</si>
  <si>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</si>
  <si>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</si>
  <si>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</si>
  <si>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</si>
  <si>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</si>
  <si>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</si>
  <si>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</si>
  <si>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</si>
  <si>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</si>
  <si>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</si>
  <si>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</si>
  <si>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</si>
  <si>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</si>
  <si>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</si>
  <si>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</si>
  <si>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</si>
  <si>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</si>
  <si>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</si>
  <si>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</si>
  <si>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</si>
  <si>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</si>
  <si>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</si>
  <si>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</si>
  <si>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</si>
  <si>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</si>
  <si>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</si>
  <si>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</si>
  <si>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</si>
  <si>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</si>
  <si>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</si>
  <si>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</si>
  <si>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</si>
  <si>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</si>
  <si>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</si>
  <si>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</si>
  <si>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</si>
  <si>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</si>
  <si>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</si>
  <si>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</si>
  <si>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</si>
  <si>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</si>
  <si>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</si>
  <si>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</si>
  <si>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</si>
  <si>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</si>
  <si>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</si>
  <si>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</si>
  <si>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</si>
  <si>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</si>
  <si>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</si>
  <si>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</si>
  <si>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</si>
  <si>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</si>
  <si>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</si>
  <si>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</si>
  <si>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</si>
  <si>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</si>
  <si>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</si>
  <si>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</si>
  <si>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</si>
  <si>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</si>
  <si>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</si>
  <si>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</si>
  <si>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</si>
  <si>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</si>
  <si>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</si>
  <si>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</si>
  <si>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</si>
  <si>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</si>
  <si>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</si>
  <si>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</si>
  <si>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</si>
  <si>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</si>
  <si>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</si>
  <si>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</si>
  <si>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</si>
  <si>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</si>
  <si>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</si>
  <si>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</si>
  <si>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</si>
  <si>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</si>
  <si>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</si>
  <si>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</si>
  <si>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</si>
  <si>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</si>
  <si>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</si>
  <si>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</si>
  <si>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</si>
  <si>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</si>
  <si>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</si>
  <si>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</si>
  <si>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</si>
  <si>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</si>
  <si>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</si>
  <si>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</si>
  <si>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</si>
  <si>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</si>
  <si>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</si>
  <si>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</si>
  <si>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</si>
  <si>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</si>
  <si>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</si>
  <si>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</si>
  <si>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</si>
  <si>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</si>
  <si>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</si>
  <si>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</si>
  <si>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</si>
  <si>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</si>
  <si>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</si>
  <si>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</si>
  <si>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</si>
  <si>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</si>
  <si>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</si>
  <si>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</si>
  <si>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</si>
  <si>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</si>
  <si>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</si>
  <si>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</si>
  <si>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</si>
  <si>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</si>
  <si>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</si>
  <si>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</si>
  <si>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</si>
  <si>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</si>
  <si>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</si>
  <si>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</si>
  <si>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</si>
  <si>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</si>
  <si>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</si>
  <si>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</si>
  <si>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</si>
  <si>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</si>
  <si>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</si>
  <si>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</si>
  <si>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</si>
  <si>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</si>
  <si>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</si>
  <si>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</si>
  <si>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</si>
  <si>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</si>
  <si>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</si>
  <si>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</si>
  <si>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</si>
  <si>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</si>
  <si>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</si>
  <si>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</si>
  <si>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</si>
  <si>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</si>
  <si>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</si>
  <si>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</si>
  <si>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</si>
  <si>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</si>
  <si>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</si>
  <si>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</si>
  <si>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</si>
  <si>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</si>
  <si>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</si>
  <si>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</si>
  <si>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</si>
  <si>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</si>
  <si>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</si>
  <si>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</si>
  <si>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</si>
  <si>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</si>
  <si>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</si>
  <si>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</si>
  <si>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</si>
  <si>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</si>
  <si>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</si>
  <si>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</si>
  <si>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</si>
  <si>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</si>
  <si>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</si>
  <si>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</si>
  <si>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</si>
  <si>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</si>
  <si>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</si>
  <si>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</si>
  <si>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</si>
  <si>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</si>
  <si>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</si>
  <si>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</si>
  <si>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</si>
  <si>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</si>
  <si>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</si>
  <si>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</si>
  <si>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</si>
  <si>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</si>
  <si>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</si>
  <si>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</si>
  <si>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</si>
  <si>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</si>
  <si>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</si>
  <si>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</si>
  <si>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</si>
  <si>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</si>
  <si>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</si>
  <si>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</si>
  <si>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</si>
  <si>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</si>
  <si>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</si>
  <si>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</si>
  <si>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</si>
  <si>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</si>
  <si>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</si>
  <si>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</si>
  <si>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</si>
  <si>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</si>
  <si>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</si>
  <si>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</si>
  <si>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</si>
  <si>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</si>
  <si>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</si>
  <si>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</si>
  <si>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</si>
  <si>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</si>
  <si>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</si>
  <si>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</si>
  <si>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</si>
  <si>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</si>
  <si>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</si>
  <si>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</si>
  <si>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</si>
  <si>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</si>
  <si>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</si>
  <si>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</si>
  <si>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</si>
  <si>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</si>
  <si>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</si>
  <si>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2.9.2024 - 30.6.2025</t>
  </si>
  <si>
    <t>ZŠ F-M, El. Krásnohorské 2254 - ÚZ 33093</t>
  </si>
  <si>
    <t>Centrum pečovatelské služby Frýdek-Místek, p. o. - investiční transfer na výměnu 2 ks plynových kotlů, vč. ohřívače vody - s vyúčtováním</t>
  </si>
  <si>
    <t>1.9.2024 - 31.12.2024</t>
  </si>
  <si>
    <t>ŽIRAFA - Integrované centrum Frýdek-Místek, p. o. - investiční transfer na nákup 4 XL bike boxu - s vyúčtováním</t>
  </si>
  <si>
    <t>ZŠ a MŠ Chlebovice</t>
  </si>
  <si>
    <t>3. změna rozpočtu                   (v tis. Kč)</t>
  </si>
  <si>
    <t>Rozpočet roku 2024 po 2. změně a po rozpočtových opatřeních RM                  č. 1 - 111                                        (v tis. Kč)</t>
  </si>
  <si>
    <t>MENS SANA, z. ú. - výtvarná aukce pro dobročinné účely</t>
  </si>
  <si>
    <t>Lumpíkov, z. ú. - projekt "Boj proti domácímu násilí"</t>
  </si>
  <si>
    <t>Nadační fond Pavla Novotného - Dny urologické prevence</t>
  </si>
  <si>
    <t>Středisko volného času Klíč - ÚZ 00910</t>
  </si>
  <si>
    <t>JO Tenisové Tréninkové centrum z. s. - "Mezinárodní turnaj ITF do 18 let"</t>
  </si>
  <si>
    <t>ZŠ a MŠ F-M, Lískovec - ÚZ 00333</t>
  </si>
  <si>
    <t>1.9.2024 - 30.6.2025</t>
  </si>
  <si>
    <t>ZŠ F-M J. z Poděbrad 3109 - ÚZ 00333</t>
  </si>
  <si>
    <t>sl. 7</t>
  </si>
  <si>
    <t>ZŠ nár. um. P. Bezruče, T.G.M. 454</t>
  </si>
  <si>
    <t>Rozpočtová opatření RM         č. 112 - 133</t>
  </si>
  <si>
    <t>Rozpočet roku 2024 po 3. změně a po rozpočtových opatřeních RM                  č. 1 - 133                                        (v tis. Kč)</t>
  </si>
  <si>
    <t>TJ Sokol Frýdek-Místek - výdaje na účast taneční skupiny Funky Beat na Mistrovství Evropy v Chorvatsku EUROPEAN CHAMPIONSHIPS 2024</t>
  </si>
  <si>
    <t>TJ Sokol Frýdek-Místek - výdaje na účast taneční skupiny Funky Beat na Mistrovství světa v Makedonii IDO WORLD STREET DANCE CHAMPIONSHIPS 2024</t>
  </si>
  <si>
    <t>Interchess z.s. - MS mládeže v šachu</t>
  </si>
  <si>
    <t>4. změna rozpočtu                   (v tis. Kč)</t>
  </si>
  <si>
    <t>1.2.2024 - 30.6.2025</t>
  </si>
  <si>
    <t>ZŠ F-M, J. Čapka 2555 - ÚZ 00333</t>
  </si>
  <si>
    <t>1.9.2024 - 31.7.2025</t>
  </si>
  <si>
    <t>Armáda spásy v ČR, z.s. - prevence bezdomovectví</t>
  </si>
  <si>
    <t xml:space="preserve">Adámkova vila, Osobní asistence z. ú. </t>
  </si>
  <si>
    <t>1.8.2024 - 31.10.2024</t>
  </si>
  <si>
    <t>Turistické informační centrum Frýdek-Místek, p. o. - ÚZ 00694</t>
  </si>
  <si>
    <t>Rozpočtová opatření RM         č. 134 - 155</t>
  </si>
  <si>
    <t>Rozpočet roku 2024 po 4. změně a po rozpočtových opatřeních RM                  č. 1 - 155                                        (v tis. Kč)</t>
  </si>
  <si>
    <t>MIKASA, z. s. - sociální rehabilitace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</si>
</sst>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3" fillId="8" borderId="20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/>
    </xf>
    <xf numFmtId="4" fontId="4" fillId="0" borderId="25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5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1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6" xfId="0" applyNumberFormat="1" applyFont="1" applyBorder="1"/>
    <xf numFmtId="4" fontId="4" fillId="0" borderId="22" xfId="0" applyNumberFormat="1" applyFont="1" applyBorder="1"/>
    <xf numFmtId="4" fontId="4" fillId="0" borderId="19" xfId="0" applyNumberFormat="1" applyFont="1" applyBorder="1"/>
    <xf numFmtId="4" fontId="4" fillId="0" borderId="24" xfId="0" applyNumberFormat="1" applyFont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0" borderId="5" xfId="0" applyNumberFormat="1" applyFont="1" applyBorder="1"/>
    <xf numFmtId="4" fontId="4" fillId="0" borderId="26" xfId="0" applyNumberFormat="1" applyFont="1" applyBorder="1"/>
    <xf numFmtId="4" fontId="4" fillId="0" borderId="27" xfId="0" applyNumberFormat="1" applyFont="1" applyBorder="1"/>
    <xf numFmtId="4" fontId="4" fillId="0" borderId="28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7" xfId="0" applyNumberFormat="1" applyFont="1" applyFill="1" applyBorder="1"/>
    <xf numFmtId="4" fontId="4" fillId="0" borderId="25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0" borderId="23" xfId="0" applyNumberFormat="1" applyFont="1" applyBorder="1"/>
    <xf numFmtId="4" fontId="5" fillId="4" borderId="20" xfId="0" applyNumberFormat="1" applyFont="1" applyFill="1" applyBorder="1"/>
    <xf numFmtId="4" fontId="4" fillId="5" borderId="20" xfId="0" applyNumberFormat="1" applyFont="1" applyFill="1" applyBorder="1"/>
    <xf numFmtId="4" fontId="3" fillId="5" borderId="20" xfId="0" applyNumberFormat="1" applyFont="1" applyFill="1" applyBorder="1"/>
    <xf numFmtId="4" fontId="5" fillId="6" borderId="20" xfId="0" applyNumberFormat="1" applyFont="1" applyFill="1" applyBorder="1"/>
    <xf numFmtId="4" fontId="4" fillId="7" borderId="20" xfId="0" applyNumberFormat="1" applyFont="1" applyFill="1" applyBorder="1"/>
    <xf numFmtId="4" fontId="3" fillId="8" borderId="20" xfId="0" applyNumberFormat="1" applyFont="1" applyFill="1" applyBorder="1"/>
    <xf numFmtId="4" fontId="3" fillId="7" borderId="20" xfId="0" applyNumberFormat="1" applyFont="1" applyFill="1" applyBorder="1"/>
    <xf numFmtId="4" fontId="4" fillId="0" borderId="18" xfId="0" applyNumberFormat="1" applyFont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/>
    <xf numFmtId="4" fontId="4" fillId="3" borderId="24" xfId="0" applyNumberFormat="1" applyFont="1" applyFill="1" applyBorder="1"/>
    <xf numFmtId="4" fontId="4" fillId="3" borderId="19" xfId="0" applyNumberFormat="1" applyFont="1" applyFill="1" applyBorder="1"/>
    <xf numFmtId="4" fontId="4" fillId="0" borderId="6" xfId="0" applyNumberFormat="1" applyFont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0" fillId="0" borderId="32" xfId="0" applyBorder="1"/>
    <xf numFmtId="0" fontId="0" fillId="4" borderId="31" xfId="0" applyFill="1" applyBorder="1"/>
    <xf numFmtId="4" fontId="4" fillId="0" borderId="33" xfId="0" applyNumberFormat="1" applyFont="1" applyBorder="1"/>
    <xf numFmtId="4" fontId="4" fillId="0" borderId="32" xfId="0" applyNumberFormat="1" applyFont="1" applyBorder="1"/>
    <xf numFmtId="4" fontId="5" fillId="4" borderId="31" xfId="0" applyNumberFormat="1" applyFont="1" applyFill="1" applyBorder="1"/>
    <xf numFmtId="4" fontId="4" fillId="5" borderId="31" xfId="0" applyNumberFormat="1" applyFont="1" applyFill="1" applyBorder="1"/>
    <xf numFmtId="4" fontId="3" fillId="5" borderId="31" xfId="0" applyNumberFormat="1" applyFont="1" applyFill="1" applyBorder="1"/>
    <xf numFmtId="4" fontId="5" fillId="6" borderId="31" xfId="0" applyNumberFormat="1" applyFont="1" applyFill="1" applyBorder="1"/>
    <xf numFmtId="4" fontId="4" fillId="7" borderId="31" xfId="0" applyNumberFormat="1" applyFont="1" applyFill="1" applyBorder="1"/>
    <xf numFmtId="4" fontId="3" fillId="8" borderId="31" xfId="0" applyNumberFormat="1" applyFont="1" applyFill="1" applyBorder="1"/>
    <xf numFmtId="4" fontId="4" fillId="0" borderId="34" xfId="0" applyNumberFormat="1" applyFont="1" applyBorder="1"/>
    <xf numFmtId="4" fontId="3" fillId="7" borderId="3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0" borderId="5" xfId="0" applyBorder="1"/>
    <xf numFmtId="0" fontId="0" fillId="4" borderId="2" xfId="0" applyFill="1" applyBorder="1"/>
    <xf numFmtId="4" fontId="4" fillId="5" borderId="2" xfId="0" applyNumberFormat="1" applyFont="1" applyFill="1" applyBorder="1"/>
    <xf numFmtId="4" fontId="4" fillId="7" borderId="2" xfId="0" applyNumberFormat="1" applyFont="1" applyFill="1" applyBorder="1"/>
    <xf numFmtId="4" fontId="3" fillId="7" borderId="2" xfId="0" applyNumberFormat="1" applyFont="1" applyFill="1" applyBorder="1"/>
    <xf numFmtId="4" fontId="4" fillId="3" borderId="29" xfId="0" applyNumberFormat="1" applyFont="1" applyFill="1" applyBorder="1"/>
    <xf numFmtId="4" fontId="4" fillId="0" borderId="35" xfId="0" applyNumberFormat="1" applyFont="1" applyBorder="1"/>
    <xf numFmtId="0" fontId="6" fillId="3" borderId="11" xfId="0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right"/>
    </xf>
    <xf numFmtId="4" fontId="12" fillId="5" borderId="3" xfId="0" applyNumberFormat="1" applyFont="1" applyFill="1" applyBorder="1"/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23" xfId="0" applyNumberFormat="1" applyFont="1" applyFill="1" applyBorder="1"/>
    <xf numFmtId="0" fontId="6" fillId="3" borderId="12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4" fillId="0" borderId="39" xfId="0" applyNumberFormat="1" applyFont="1" applyBorder="1"/>
    <xf numFmtId="4" fontId="4" fillId="0" borderId="37" xfId="0" applyNumberFormat="1" applyFont="1" applyBorder="1"/>
    <xf numFmtId="4" fontId="4" fillId="0" borderId="38" xfId="0" applyNumberFormat="1" applyFont="1" applyBorder="1"/>
    <xf numFmtId="4" fontId="4" fillId="0" borderId="40" xfId="0" applyNumberFormat="1" applyFont="1" applyBorder="1"/>
    <xf numFmtId="0" fontId="7" fillId="7" borderId="3" xfId="0" applyFont="1" applyFill="1" applyBorder="1" applyAlignment="1">
      <alignment horizontal="center" vertical="center"/>
    </xf>
    <xf numFmtId="4" fontId="4" fillId="3" borderId="0" xfId="0" applyNumberFormat="1" applyFont="1" applyFill="1"/>
    <xf numFmtId="4" fontId="4" fillId="3" borderId="41" xfId="0" applyNumberFormat="1" applyFont="1" applyFill="1" applyBorder="1"/>
    <xf numFmtId="4" fontId="4" fillId="3" borderId="25" xfId="0" applyNumberFormat="1" applyFont="1" applyFill="1" applyBorder="1"/>
    <xf numFmtId="0" fontId="2" fillId="3" borderId="0" xfId="0" applyFont="1" applyFill="1" applyAlignment="1">
      <alignment horizontal="center"/>
    </xf>
    <xf numFmtId="4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R411"/>
  <sheetViews>
    <sheetView tabSelected="1" view="pageLayout" topLeftCell="A290" zoomScale="110" zoomScaleNormal="100" zoomScalePageLayoutView="110" workbookViewId="0">
      <selection activeCell="P296" sqref="P296"/>
    </sheetView>
  </sheetViews>
  <sheetFormatPr defaultColWidth="9.140625" defaultRowHeight="15" x14ac:dyDescent="0.25"/>
  <cols>
    <col min="1" max="1" width="51.28515625" customWidth="1"/>
    <col min="2" max="2" width="16.140625" customWidth="1"/>
    <col min="3" max="3" width="13.140625" customWidth="1"/>
    <col min="4" max="5" width="13.42578125" hidden="1" customWidth="1"/>
    <col min="6" max="8" width="13.140625" hidden="1" customWidth="1"/>
    <col min="9" max="9" width="10.140625" hidden="1" customWidth="1"/>
    <col min="10" max="10" width="11.42578125" hidden="1" customWidth="1"/>
    <col min="11" max="11" width="13.140625" hidden="1" customWidth="1"/>
    <col min="12" max="12" width="10.85546875" hidden="1" customWidth="1"/>
    <col min="13" max="13" width="11.7109375" hidden="1" customWidth="1"/>
    <col min="14" max="14" width="13.140625" customWidth="1"/>
    <col min="15" max="15" width="12.5703125" customWidth="1"/>
    <col min="16" max="16" width="12.140625" customWidth="1"/>
    <col min="17" max="17" width="13" customWidth="1"/>
    <col min="18" max="18" width="11.85546875" bestFit="1" customWidth="1"/>
    <col min="19" max="19" width="11" customWidth="1"/>
  </cols>
  <sheetData>
    <row r="1" spans="1:18" ht="72" customHeight="1" thickBot="1" x14ac:dyDescent="0.3">
      <c r="A1" s="1" t="s">
        <v>0</v>
      </c>
      <c r="B1" s="2" t="s">
        <v>1</v>
      </c>
      <c r="C1" s="3" t="s">
        <v>2</v>
      </c>
      <c r="D1" s="3" t="s">
        <v>290</v>
      </c>
      <c r="E1" s="79" t="s">
        <v>291</v>
      </c>
      <c r="F1" s="3" t="s">
        <v>292</v>
      </c>
      <c r="G1" s="94" t="s">
        <v>325</v>
      </c>
      <c r="H1" s="3" t="s">
        <v>340</v>
      </c>
      <c r="I1" s="3" t="s">
        <v>339</v>
      </c>
      <c r="J1" s="3" t="s">
        <v>358</v>
      </c>
      <c r="K1" s="3" t="s">
        <v>366</v>
      </c>
      <c r="L1" s="3" t="s">
        <v>365</v>
      </c>
      <c r="M1" s="2" t="s">
        <v>377</v>
      </c>
      <c r="N1" s="3" t="s">
        <v>378</v>
      </c>
      <c r="O1" s="3" t="s">
        <v>382</v>
      </c>
      <c r="P1" s="3" t="s">
        <v>390</v>
      </c>
      <c r="Q1" s="165" t="s">
        <v>391</v>
      </c>
    </row>
    <row r="2" spans="1:1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0" t="s">
        <v>7</v>
      </c>
      <c r="F2" s="6" t="s">
        <v>6</v>
      </c>
      <c r="G2" s="99" t="s">
        <v>7</v>
      </c>
      <c r="H2" s="6" t="s">
        <v>6</v>
      </c>
      <c r="I2" s="6" t="s">
        <v>7</v>
      </c>
      <c r="J2" s="6" t="s">
        <v>268</v>
      </c>
      <c r="K2" s="6" t="s">
        <v>6</v>
      </c>
      <c r="L2" s="6" t="s">
        <v>7</v>
      </c>
      <c r="M2" s="179" t="s">
        <v>268</v>
      </c>
      <c r="N2" s="6" t="s">
        <v>6</v>
      </c>
      <c r="O2" s="6" t="s">
        <v>7</v>
      </c>
      <c r="P2" s="6" t="s">
        <v>268</v>
      </c>
      <c r="Q2" s="166" t="s">
        <v>375</v>
      </c>
    </row>
    <row r="3" spans="1:18" ht="9.75" customHeight="1" thickBot="1" x14ac:dyDescent="0.3">
      <c r="A3" s="7"/>
      <c r="B3" s="8"/>
      <c r="C3" s="9"/>
      <c r="D3" s="9"/>
      <c r="E3" s="208"/>
      <c r="F3" s="9"/>
      <c r="G3" s="95"/>
      <c r="H3" s="116"/>
      <c r="I3" s="116"/>
      <c r="J3" s="116"/>
      <c r="K3" s="116"/>
      <c r="L3" s="116"/>
      <c r="M3" s="180"/>
      <c r="N3" s="116"/>
      <c r="O3" s="116"/>
      <c r="P3" s="116"/>
      <c r="Q3" s="167"/>
    </row>
    <row r="4" spans="1:18" ht="16.5" customHeight="1" thickBot="1" x14ac:dyDescent="0.3">
      <c r="A4" s="10" t="s">
        <v>8</v>
      </c>
      <c r="B4" s="11"/>
      <c r="C4" s="12"/>
      <c r="D4" s="13"/>
      <c r="E4" s="81"/>
      <c r="F4" s="97"/>
      <c r="G4" s="98"/>
      <c r="H4" s="117"/>
      <c r="I4" s="117"/>
      <c r="J4" s="117"/>
      <c r="K4" s="117"/>
      <c r="L4" s="117"/>
      <c r="M4" s="181"/>
      <c r="N4" s="117"/>
      <c r="O4" s="117"/>
      <c r="P4" s="117"/>
      <c r="Q4" s="168"/>
    </row>
    <row r="5" spans="1:18" ht="15" customHeight="1" x14ac:dyDescent="0.25">
      <c r="A5" s="14" t="s">
        <v>9</v>
      </c>
      <c r="B5" s="15"/>
      <c r="C5" s="102">
        <v>1236720</v>
      </c>
      <c r="D5" s="102">
        <v>0</v>
      </c>
      <c r="E5" s="102">
        <v>4377.25</v>
      </c>
      <c r="F5" s="102">
        <f>SUM(C5:E5)</f>
        <v>1241097.25</v>
      </c>
      <c r="G5" s="102">
        <f>0</f>
        <v>0</v>
      </c>
      <c r="H5" s="102">
        <f>SUM(F5:G5)</f>
        <v>1241097.25</v>
      </c>
      <c r="I5" s="102">
        <v>152</v>
      </c>
      <c r="J5" s="102">
        <v>0</v>
      </c>
      <c r="K5" s="102">
        <f>SUM(H5:J5)</f>
        <v>1241249.25</v>
      </c>
      <c r="L5" s="102">
        <f>500</f>
        <v>500</v>
      </c>
      <c r="M5" s="102">
        <v>0</v>
      </c>
      <c r="N5" s="102">
        <f>SUM(K5:M5)</f>
        <v>1241749.25</v>
      </c>
      <c r="O5" s="102">
        <v>0</v>
      </c>
      <c r="P5" s="102">
        <v>0</v>
      </c>
      <c r="Q5" s="169">
        <f>SUM(N5:P5)</f>
        <v>1241749.25</v>
      </c>
    </row>
    <row r="6" spans="1:18" ht="15" customHeight="1" x14ac:dyDescent="0.25">
      <c r="A6" s="14" t="s">
        <v>10</v>
      </c>
      <c r="B6" s="15"/>
      <c r="C6" s="104">
        <v>183315</v>
      </c>
      <c r="D6" s="104">
        <f>464.64+421.2+355.59</f>
        <v>1241.4299999999998</v>
      </c>
      <c r="E6" s="104">
        <v>5579.59</v>
      </c>
      <c r="F6" s="104">
        <f>SUM(C6:E6)</f>
        <v>190136.02</v>
      </c>
      <c r="G6" s="104">
        <f>583.66+0.1+68.97+402.9+5.47</f>
        <v>1061.1000000000001</v>
      </c>
      <c r="H6" s="104">
        <f>SUM(F6:G6)+330.04</f>
        <v>191527.16</v>
      </c>
      <c r="I6" s="104">
        <v>43292</v>
      </c>
      <c r="J6" s="104">
        <f>406.33+116.06+732.53+22.2</f>
        <v>1277.1200000000001</v>
      </c>
      <c r="K6" s="104">
        <f>SUM(H6:J6)+795.97</f>
        <v>236892.25</v>
      </c>
      <c r="L6" s="104">
        <f>5643.66+3000</f>
        <v>8643.66</v>
      </c>
      <c r="M6" s="104">
        <f>371.88</f>
        <v>371.88</v>
      </c>
      <c r="N6" s="104">
        <f t="shared" ref="N6:N39" si="0">SUM(K6:M6)</f>
        <v>245907.79</v>
      </c>
      <c r="O6" s="104">
        <v>0</v>
      </c>
      <c r="P6" s="104">
        <f>70.87+35.84</f>
        <v>106.71000000000001</v>
      </c>
      <c r="Q6" s="177">
        <f t="shared" ref="Q6:Q69" si="1">SUM(N6:P6)</f>
        <v>246014.5</v>
      </c>
    </row>
    <row r="7" spans="1:18" ht="15" customHeight="1" x14ac:dyDescent="0.25">
      <c r="A7" s="17" t="s">
        <v>11</v>
      </c>
      <c r="B7" s="18"/>
      <c r="C7" s="104">
        <v>1500</v>
      </c>
      <c r="D7" s="104">
        <v>0</v>
      </c>
      <c r="E7" s="104">
        <v>0</v>
      </c>
      <c r="F7" s="104">
        <f t="shared" ref="F7:F8" si="2">SUM(C7:E7)</f>
        <v>1500</v>
      </c>
      <c r="G7" s="104">
        <f>0</f>
        <v>0</v>
      </c>
      <c r="H7" s="104">
        <f t="shared" ref="H7:H88" si="3">SUM(F7:G7)</f>
        <v>1500</v>
      </c>
      <c r="I7" s="104">
        <v>5160</v>
      </c>
      <c r="J7" s="104">
        <v>0</v>
      </c>
      <c r="K7" s="104">
        <f t="shared" ref="K7:K24" si="4">SUM(H7:J7)</f>
        <v>6660</v>
      </c>
      <c r="L7" s="104">
        <f>5294</f>
        <v>5294</v>
      </c>
      <c r="M7" s="104">
        <v>0</v>
      </c>
      <c r="N7" s="104">
        <f t="shared" si="0"/>
        <v>11954</v>
      </c>
      <c r="O7" s="104">
        <v>0</v>
      </c>
      <c r="P7" s="104">
        <v>0</v>
      </c>
      <c r="Q7" s="177">
        <f t="shared" si="1"/>
        <v>11954</v>
      </c>
    </row>
    <row r="8" spans="1:18" ht="13.5" customHeight="1" thickBot="1" x14ac:dyDescent="0.3">
      <c r="A8" s="20" t="s">
        <v>12</v>
      </c>
      <c r="B8" s="21"/>
      <c r="C8" s="106">
        <v>153641.62</v>
      </c>
      <c r="D8" s="106">
        <f>185.4+331.56</f>
        <v>516.96</v>
      </c>
      <c r="E8" s="106">
        <v>1195.6199999999999</v>
      </c>
      <c r="F8" s="106">
        <f t="shared" si="2"/>
        <v>155354.19999999998</v>
      </c>
      <c r="G8" s="106">
        <f>0+217+59749.9-402.9+15</f>
        <v>59579</v>
      </c>
      <c r="H8" s="106">
        <f>SUM(F8:G8)+3673</f>
        <v>218606.19999999998</v>
      </c>
      <c r="I8" s="106">
        <v>0</v>
      </c>
      <c r="J8" s="106">
        <f>344.5+20631.57+4659.43+835+1088+4268.34</f>
        <v>31826.84</v>
      </c>
      <c r="K8" s="106">
        <f>SUM(H8:J8)+226</f>
        <v>250659.03999999998</v>
      </c>
      <c r="L8" s="106">
        <f>4569</f>
        <v>4569</v>
      </c>
      <c r="M8" s="106">
        <f>2133.12-0.27</f>
        <v>2132.85</v>
      </c>
      <c r="N8" s="106">
        <f t="shared" si="0"/>
        <v>257360.88999999998</v>
      </c>
      <c r="O8" s="106">
        <v>0</v>
      </c>
      <c r="P8" s="106">
        <f>268.2+4318+2259.44</f>
        <v>6845.6399999999994</v>
      </c>
      <c r="Q8" s="186">
        <f t="shared" si="1"/>
        <v>264206.52999999997</v>
      </c>
    </row>
    <row r="9" spans="1:18" ht="16.5" customHeight="1" thickBot="1" x14ac:dyDescent="0.3">
      <c r="A9" s="23" t="s">
        <v>13</v>
      </c>
      <c r="B9" s="24"/>
      <c r="C9" s="130">
        <f>SUM(C5:C8)</f>
        <v>1575176.62</v>
      </c>
      <c r="D9" s="130">
        <f t="shared" ref="D9:G9" si="5">SUM(D5:D8)</f>
        <v>1758.3899999999999</v>
      </c>
      <c r="E9" s="131">
        <f t="shared" si="5"/>
        <v>11152.46</v>
      </c>
      <c r="F9" s="130">
        <f t="shared" si="5"/>
        <v>1588087.47</v>
      </c>
      <c r="G9" s="130">
        <f t="shared" si="5"/>
        <v>60640.1</v>
      </c>
      <c r="H9" s="130">
        <f t="shared" ref="H9:M9" si="6">SUM(H5:H8)</f>
        <v>1652730.6099999999</v>
      </c>
      <c r="I9" s="130">
        <f t="shared" si="6"/>
        <v>48604</v>
      </c>
      <c r="J9" s="130">
        <f t="shared" si="6"/>
        <v>33103.96</v>
      </c>
      <c r="K9" s="148">
        <f t="shared" si="6"/>
        <v>1735460.54</v>
      </c>
      <c r="L9" s="130">
        <f t="shared" si="6"/>
        <v>19006.66</v>
      </c>
      <c r="M9" s="131">
        <f t="shared" si="6"/>
        <v>2504.73</v>
      </c>
      <c r="N9" s="130">
        <f>SUM(K9:M9)</f>
        <v>1756971.93</v>
      </c>
      <c r="O9" s="130">
        <f>SUM(O5:O8)</f>
        <v>0</v>
      </c>
      <c r="P9" s="130">
        <f>SUM(P5:P8)</f>
        <v>6952.3499999999995</v>
      </c>
      <c r="Q9" s="171">
        <f t="shared" si="1"/>
        <v>1763924.28</v>
      </c>
      <c r="R9" s="122"/>
    </row>
    <row r="10" spans="1:18" ht="15" customHeight="1" thickBot="1" x14ac:dyDescent="0.3">
      <c r="A10" s="25"/>
      <c r="B10" s="26"/>
      <c r="C10" s="27"/>
      <c r="D10" s="27"/>
      <c r="E10" s="85"/>
      <c r="F10" s="27"/>
      <c r="G10" s="27"/>
      <c r="H10" s="118"/>
      <c r="I10" s="118"/>
      <c r="J10" s="118"/>
      <c r="K10" s="209"/>
      <c r="L10" s="108"/>
      <c r="M10" s="137"/>
      <c r="N10" s="108"/>
      <c r="O10" s="108"/>
      <c r="P10" s="108"/>
      <c r="Q10" s="170"/>
    </row>
    <row r="11" spans="1:18" ht="15" customHeight="1" thickBot="1" x14ac:dyDescent="0.3">
      <c r="A11" s="28" t="s">
        <v>14</v>
      </c>
      <c r="B11" s="29"/>
      <c r="C11" s="30"/>
      <c r="D11" s="30"/>
      <c r="E11" s="86"/>
      <c r="F11" s="30"/>
      <c r="G11" s="30"/>
      <c r="H11" s="119"/>
      <c r="I11" s="119"/>
      <c r="J11" s="119"/>
      <c r="K11" s="149"/>
      <c r="L11" s="121"/>
      <c r="M11" s="182"/>
      <c r="N11" s="121"/>
      <c r="O11" s="121"/>
      <c r="P11" s="121"/>
      <c r="Q11" s="172"/>
    </row>
    <row r="12" spans="1:18" x14ac:dyDescent="0.25">
      <c r="A12" s="14" t="s">
        <v>15</v>
      </c>
      <c r="B12" s="15"/>
      <c r="C12" s="134">
        <v>408497.84</v>
      </c>
      <c r="D12" s="134">
        <f>77.23</f>
        <v>77.23</v>
      </c>
      <c r="E12" s="103">
        <v>75986.880000000005</v>
      </c>
      <c r="F12" s="102">
        <f>SUM(C12:E12)</f>
        <v>484561.95</v>
      </c>
      <c r="G12" s="102">
        <v>0</v>
      </c>
      <c r="H12" s="102">
        <f t="shared" si="3"/>
        <v>484561.95</v>
      </c>
      <c r="I12" s="102">
        <v>0</v>
      </c>
      <c r="J12" s="102">
        <v>0</v>
      </c>
      <c r="K12" s="147">
        <f t="shared" si="4"/>
        <v>484561.95</v>
      </c>
      <c r="L12" s="102">
        <v>0</v>
      </c>
      <c r="M12" s="103">
        <v>0</v>
      </c>
      <c r="N12" s="102">
        <f t="shared" si="0"/>
        <v>484561.95</v>
      </c>
      <c r="O12" s="102">
        <v>0</v>
      </c>
      <c r="P12" s="102">
        <v>0</v>
      </c>
      <c r="Q12" s="169">
        <f t="shared" si="1"/>
        <v>484561.95</v>
      </c>
    </row>
    <row r="13" spans="1:18" x14ac:dyDescent="0.25">
      <c r="A13" s="17" t="s">
        <v>16</v>
      </c>
      <c r="B13" s="18"/>
      <c r="C13" s="109">
        <v>139450.20000000001</v>
      </c>
      <c r="D13" s="109">
        <v>0</v>
      </c>
      <c r="E13" s="105">
        <v>185421.03</v>
      </c>
      <c r="F13" s="102">
        <f t="shared" ref="F13:F19" si="7">SUM(C13:E13)</f>
        <v>324871.23</v>
      </c>
      <c r="G13" s="104">
        <v>0</v>
      </c>
      <c r="H13" s="104">
        <f t="shared" si="3"/>
        <v>324871.23</v>
      </c>
      <c r="I13" s="104">
        <v>0</v>
      </c>
      <c r="J13" s="102">
        <v>0</v>
      </c>
      <c r="K13" s="147">
        <f t="shared" si="4"/>
        <v>324871.23</v>
      </c>
      <c r="L13" s="104">
        <v>0</v>
      </c>
      <c r="M13" s="103">
        <v>0</v>
      </c>
      <c r="N13" s="102">
        <f t="shared" si="0"/>
        <v>324871.23</v>
      </c>
      <c r="O13" s="104">
        <v>0</v>
      </c>
      <c r="P13" s="104">
        <v>0</v>
      </c>
      <c r="Q13" s="177">
        <f>SUM(N13:P13)</f>
        <v>324871.23</v>
      </c>
    </row>
    <row r="14" spans="1:18" ht="15" customHeight="1" x14ac:dyDescent="0.25">
      <c r="A14" s="17" t="s">
        <v>17</v>
      </c>
      <c r="B14" s="18"/>
      <c r="C14" s="104">
        <v>12655</v>
      </c>
      <c r="D14" s="104">
        <v>0</v>
      </c>
      <c r="E14" s="105">
        <v>0</v>
      </c>
      <c r="F14" s="102">
        <f t="shared" si="7"/>
        <v>12655</v>
      </c>
      <c r="G14" s="104">
        <v>0</v>
      </c>
      <c r="H14" s="104">
        <f t="shared" si="3"/>
        <v>12655</v>
      </c>
      <c r="I14" s="104">
        <v>0</v>
      </c>
      <c r="J14" s="102">
        <v>0</v>
      </c>
      <c r="K14" s="147">
        <f t="shared" si="4"/>
        <v>12655</v>
      </c>
      <c r="L14" s="104">
        <v>0</v>
      </c>
      <c r="M14" s="103">
        <v>0</v>
      </c>
      <c r="N14" s="102">
        <f t="shared" si="0"/>
        <v>12655</v>
      </c>
      <c r="O14" s="104">
        <v>0</v>
      </c>
      <c r="P14" s="104">
        <v>0</v>
      </c>
      <c r="Q14" s="177">
        <f t="shared" si="1"/>
        <v>12655</v>
      </c>
    </row>
    <row r="15" spans="1:18" ht="24.75" customHeight="1" x14ac:dyDescent="0.25">
      <c r="A15" s="17" t="s">
        <v>18</v>
      </c>
      <c r="B15" s="18"/>
      <c r="C15" s="110">
        <v>2450</v>
      </c>
      <c r="D15" s="110">
        <v>0</v>
      </c>
      <c r="E15" s="105">
        <v>0</v>
      </c>
      <c r="F15" s="102">
        <f t="shared" si="7"/>
        <v>2450</v>
      </c>
      <c r="G15" s="104">
        <v>0</v>
      </c>
      <c r="H15" s="104">
        <f>SUM(F15:G15)</f>
        <v>2450</v>
      </c>
      <c r="I15" s="104">
        <v>0</v>
      </c>
      <c r="J15" s="102">
        <v>0</v>
      </c>
      <c r="K15" s="147">
        <f>SUM(H15:J15)</f>
        <v>2450</v>
      </c>
      <c r="L15" s="104">
        <v>0</v>
      </c>
      <c r="M15" s="103">
        <v>0</v>
      </c>
      <c r="N15" s="102">
        <f t="shared" si="0"/>
        <v>2450</v>
      </c>
      <c r="O15" s="104">
        <v>0</v>
      </c>
      <c r="P15" s="104">
        <v>0</v>
      </c>
      <c r="Q15" s="177">
        <f t="shared" si="1"/>
        <v>2450</v>
      </c>
    </row>
    <row r="16" spans="1:18" ht="25.5" customHeight="1" x14ac:dyDescent="0.25">
      <c r="A16" s="17" t="s">
        <v>19</v>
      </c>
      <c r="B16" s="18"/>
      <c r="C16" s="110">
        <v>0</v>
      </c>
      <c r="D16" s="110">
        <v>0</v>
      </c>
      <c r="E16" s="105">
        <v>0</v>
      </c>
      <c r="F16" s="102">
        <f t="shared" si="7"/>
        <v>0</v>
      </c>
      <c r="G16" s="104">
        <v>0</v>
      </c>
      <c r="H16" s="104">
        <f t="shared" si="3"/>
        <v>0</v>
      </c>
      <c r="I16" s="104">
        <v>0</v>
      </c>
      <c r="J16" s="102">
        <v>0</v>
      </c>
      <c r="K16" s="147">
        <f t="shared" si="4"/>
        <v>0</v>
      </c>
      <c r="L16" s="104">
        <v>0</v>
      </c>
      <c r="M16" s="103">
        <v>0</v>
      </c>
      <c r="N16" s="102">
        <f t="shared" si="0"/>
        <v>0</v>
      </c>
      <c r="O16" s="104">
        <v>0</v>
      </c>
      <c r="P16" s="104">
        <v>0</v>
      </c>
      <c r="Q16" s="177">
        <f t="shared" si="1"/>
        <v>0</v>
      </c>
    </row>
    <row r="17" spans="1:18" ht="17.25" customHeight="1" x14ac:dyDescent="0.25">
      <c r="A17" s="17" t="s">
        <v>20</v>
      </c>
      <c r="B17" s="18"/>
      <c r="C17" s="110">
        <v>3000</v>
      </c>
      <c r="D17" s="110">
        <v>0</v>
      </c>
      <c r="E17" s="105">
        <v>0</v>
      </c>
      <c r="F17" s="102">
        <f t="shared" si="7"/>
        <v>3000</v>
      </c>
      <c r="G17" s="104">
        <v>0</v>
      </c>
      <c r="H17" s="104">
        <f t="shared" si="3"/>
        <v>3000</v>
      </c>
      <c r="I17" s="104">
        <v>0</v>
      </c>
      <c r="J17" s="102">
        <v>0</v>
      </c>
      <c r="K17" s="147">
        <f t="shared" si="4"/>
        <v>3000</v>
      </c>
      <c r="L17" s="104">
        <v>0</v>
      </c>
      <c r="M17" s="103">
        <v>0</v>
      </c>
      <c r="N17" s="102">
        <f t="shared" si="0"/>
        <v>3000</v>
      </c>
      <c r="O17" s="104">
        <v>0</v>
      </c>
      <c r="P17" s="104">
        <v>0</v>
      </c>
      <c r="Q17" s="177">
        <f t="shared" si="1"/>
        <v>3000</v>
      </c>
    </row>
    <row r="18" spans="1:18" ht="14.25" customHeight="1" x14ac:dyDescent="0.25">
      <c r="A18" s="33" t="s">
        <v>21</v>
      </c>
      <c r="B18" s="18"/>
      <c r="C18" s="110">
        <v>0</v>
      </c>
      <c r="D18" s="110">
        <v>0</v>
      </c>
      <c r="E18" s="105">
        <v>0</v>
      </c>
      <c r="F18" s="102">
        <f>SUM(C18:E18)</f>
        <v>0</v>
      </c>
      <c r="G18" s="104">
        <v>0</v>
      </c>
      <c r="H18" s="104">
        <f t="shared" si="3"/>
        <v>0</v>
      </c>
      <c r="I18" s="104">
        <v>0</v>
      </c>
      <c r="J18" s="102">
        <v>0</v>
      </c>
      <c r="K18" s="147">
        <f t="shared" si="4"/>
        <v>0</v>
      </c>
      <c r="L18" s="104">
        <v>0</v>
      </c>
      <c r="M18" s="103">
        <v>0</v>
      </c>
      <c r="N18" s="102">
        <f t="shared" si="0"/>
        <v>0</v>
      </c>
      <c r="O18" s="104">
        <v>0</v>
      </c>
      <c r="P18" s="104">
        <v>0</v>
      </c>
      <c r="Q18" s="177">
        <f t="shared" si="1"/>
        <v>0</v>
      </c>
    </row>
    <row r="19" spans="1:18" ht="15" customHeight="1" thickBot="1" x14ac:dyDescent="0.3">
      <c r="A19" s="20" t="s">
        <v>22</v>
      </c>
      <c r="B19" s="21"/>
      <c r="C19" s="106">
        <v>0</v>
      </c>
      <c r="D19" s="106">
        <v>0</v>
      </c>
      <c r="E19" s="107">
        <v>0</v>
      </c>
      <c r="F19" s="108">
        <f t="shared" si="7"/>
        <v>0</v>
      </c>
      <c r="G19" s="106">
        <v>0</v>
      </c>
      <c r="H19" s="106">
        <f t="shared" si="3"/>
        <v>0</v>
      </c>
      <c r="I19" s="106">
        <v>0</v>
      </c>
      <c r="J19" s="108">
        <v>0</v>
      </c>
      <c r="K19" s="209">
        <f t="shared" si="4"/>
        <v>0</v>
      </c>
      <c r="L19" s="106">
        <v>0</v>
      </c>
      <c r="M19" s="137">
        <v>0</v>
      </c>
      <c r="N19" s="108">
        <f t="shared" si="0"/>
        <v>0</v>
      </c>
      <c r="O19" s="106">
        <v>0</v>
      </c>
      <c r="P19" s="106">
        <v>0</v>
      </c>
      <c r="Q19" s="186">
        <f t="shared" si="1"/>
        <v>0</v>
      </c>
    </row>
    <row r="20" spans="1:18" ht="15.75" customHeight="1" thickBot="1" x14ac:dyDescent="0.3">
      <c r="A20" s="28" t="s">
        <v>23</v>
      </c>
      <c r="B20" s="34"/>
      <c r="C20" s="125">
        <f>SUM(C12:C19)</f>
        <v>566053.04</v>
      </c>
      <c r="D20" s="125">
        <f t="shared" ref="D20:G20" si="8">SUM(D12:D19)</f>
        <v>77.23</v>
      </c>
      <c r="E20" s="126">
        <f t="shared" si="8"/>
        <v>261407.91</v>
      </c>
      <c r="F20" s="125">
        <f t="shared" si="8"/>
        <v>827538.17999999993</v>
      </c>
      <c r="G20" s="125">
        <f t="shared" si="8"/>
        <v>0</v>
      </c>
      <c r="H20" s="125">
        <f t="shared" ref="H20:M20" si="9">SUM(H12:H19)</f>
        <v>827538.17999999993</v>
      </c>
      <c r="I20" s="125">
        <f t="shared" si="9"/>
        <v>0</v>
      </c>
      <c r="J20" s="125">
        <f t="shared" si="9"/>
        <v>0</v>
      </c>
      <c r="K20" s="150">
        <f t="shared" si="9"/>
        <v>827538.17999999993</v>
      </c>
      <c r="L20" s="125">
        <f t="shared" si="9"/>
        <v>0</v>
      </c>
      <c r="M20" s="126">
        <f t="shared" si="9"/>
        <v>0</v>
      </c>
      <c r="N20" s="125">
        <f t="shared" si="0"/>
        <v>827538.17999999993</v>
      </c>
      <c r="O20" s="125">
        <f>SUM(O12:O19)</f>
        <v>0</v>
      </c>
      <c r="P20" s="125">
        <f>SUM(P12:P19)</f>
        <v>0</v>
      </c>
      <c r="Q20" s="173">
        <f t="shared" si="1"/>
        <v>827538.17999999993</v>
      </c>
      <c r="R20" s="122"/>
    </row>
    <row r="21" spans="1:18" ht="17.25" customHeight="1" thickBot="1" x14ac:dyDescent="0.3">
      <c r="A21" s="35" t="s">
        <v>24</v>
      </c>
      <c r="B21" s="36"/>
      <c r="C21" s="127">
        <f>SUM(C9+C20)</f>
        <v>2141229.66</v>
      </c>
      <c r="D21" s="127">
        <f>SUM(D9+D20)</f>
        <v>1835.62</v>
      </c>
      <c r="E21" s="129">
        <f>E9+E20</f>
        <v>272560.37</v>
      </c>
      <c r="F21" s="127">
        <f>SUM(C21:E21)</f>
        <v>2415625.6500000004</v>
      </c>
      <c r="G21" s="127">
        <f>SUM(G9+G20)</f>
        <v>60640.1</v>
      </c>
      <c r="H21" s="127">
        <f>SUM(H9+H20)</f>
        <v>2480268.79</v>
      </c>
      <c r="I21" s="127">
        <f>I9+I20</f>
        <v>48604</v>
      </c>
      <c r="J21" s="127">
        <f>SUM(J9+J20)</f>
        <v>33103.96</v>
      </c>
      <c r="K21" s="151">
        <f>SUM(K9+K20)</f>
        <v>2562998.7199999997</v>
      </c>
      <c r="L21" s="127">
        <f>SUM(L9+L20)</f>
        <v>19006.66</v>
      </c>
      <c r="M21" s="129">
        <f>SUM(M9+M20)</f>
        <v>2504.73</v>
      </c>
      <c r="N21" s="127">
        <f t="shared" si="0"/>
        <v>2584510.11</v>
      </c>
      <c r="O21" s="127">
        <f>SUM(O9+O20)</f>
        <v>0</v>
      </c>
      <c r="P21" s="127">
        <f>SUM(P9+P20)</f>
        <v>6952.3499999999995</v>
      </c>
      <c r="Q21" s="174">
        <f t="shared" si="1"/>
        <v>2591462.46</v>
      </c>
      <c r="R21" s="122"/>
    </row>
    <row r="22" spans="1:18" ht="13.5" customHeight="1" thickBot="1" x14ac:dyDescent="0.3">
      <c r="A22" s="25"/>
      <c r="B22" s="26"/>
      <c r="C22" s="27"/>
      <c r="D22" s="27"/>
      <c r="E22" s="85"/>
      <c r="F22" s="27"/>
      <c r="G22" s="27"/>
      <c r="H22" s="108"/>
      <c r="I22" s="108"/>
      <c r="J22" s="108"/>
      <c r="K22" s="209"/>
      <c r="L22" s="108"/>
      <c r="M22" s="137"/>
      <c r="N22" s="108"/>
      <c r="O22" s="108"/>
      <c r="P22" s="108"/>
      <c r="Q22" s="170"/>
    </row>
    <row r="23" spans="1:18" ht="14.25" customHeight="1" thickBot="1" x14ac:dyDescent="0.3">
      <c r="A23" s="37" t="s">
        <v>25</v>
      </c>
      <c r="B23" s="38"/>
      <c r="C23" s="39"/>
      <c r="D23" s="39"/>
      <c r="E23" s="87"/>
      <c r="F23" s="39"/>
      <c r="G23" s="39"/>
      <c r="H23" s="120"/>
      <c r="I23" s="120"/>
      <c r="J23" s="120"/>
      <c r="K23" s="152"/>
      <c r="L23" s="120"/>
      <c r="M23" s="183"/>
      <c r="N23" s="120"/>
      <c r="O23" s="120"/>
      <c r="P23" s="120"/>
      <c r="Q23" s="175"/>
    </row>
    <row r="24" spans="1:18" ht="16.350000000000001" customHeight="1" thickBot="1" x14ac:dyDescent="0.3">
      <c r="A24" s="40" t="s">
        <v>26</v>
      </c>
      <c r="B24" s="41"/>
      <c r="C24" s="42">
        <f>SUM(C26:C46)</f>
        <v>7639</v>
      </c>
      <c r="D24" s="42">
        <f>SUM(D27:D46)</f>
        <v>10</v>
      </c>
      <c r="E24" s="88">
        <f>SUM(E27:E46)</f>
        <v>0</v>
      </c>
      <c r="F24" s="42">
        <f>SUM(F27:F46)</f>
        <v>7649</v>
      </c>
      <c r="G24" s="42">
        <f>SUM(G27:G46)</f>
        <v>0</v>
      </c>
      <c r="H24" s="42">
        <f>SUM(H26:H46)</f>
        <v>7599</v>
      </c>
      <c r="I24" s="42">
        <f>SUM(I26:I46)</f>
        <v>0</v>
      </c>
      <c r="J24" s="42">
        <f>SUM(J26:J46)</f>
        <v>0</v>
      </c>
      <c r="K24" s="153">
        <f t="shared" si="4"/>
        <v>7599</v>
      </c>
      <c r="L24" s="123">
        <f>SUM(L26:L46)</f>
        <v>400</v>
      </c>
      <c r="M24" s="124">
        <f>SUM(M26:M46)</f>
        <v>0</v>
      </c>
      <c r="N24" s="123">
        <f t="shared" si="0"/>
        <v>7999</v>
      </c>
      <c r="O24" s="123">
        <f>SUM(O26:O46)</f>
        <v>0</v>
      </c>
      <c r="P24" s="123">
        <f>SUM(P26:P46)</f>
        <v>21</v>
      </c>
      <c r="Q24" s="176">
        <f t="shared" si="1"/>
        <v>8020</v>
      </c>
      <c r="R24" s="122"/>
    </row>
    <row r="25" spans="1:18" x14ac:dyDescent="0.25">
      <c r="A25" s="43" t="s">
        <v>27</v>
      </c>
      <c r="B25" s="15"/>
      <c r="C25" s="16"/>
      <c r="D25" s="16"/>
      <c r="E25" s="82"/>
      <c r="F25" s="16"/>
      <c r="G25" s="16"/>
      <c r="H25" s="102"/>
      <c r="I25" s="102"/>
      <c r="J25" s="102"/>
      <c r="K25" s="147"/>
      <c r="L25" s="102"/>
      <c r="M25" s="103"/>
      <c r="N25" s="102"/>
      <c r="O25" s="102"/>
      <c r="P25" s="102"/>
      <c r="Q25" s="169"/>
    </row>
    <row r="26" spans="1:18" ht="25.5" x14ac:dyDescent="0.25">
      <c r="A26" s="43" t="s">
        <v>342</v>
      </c>
      <c r="B26" s="47" t="s">
        <v>98</v>
      </c>
      <c r="C26" s="102">
        <v>0</v>
      </c>
      <c r="D26" s="102"/>
      <c r="E26" s="103"/>
      <c r="F26" s="102"/>
      <c r="G26" s="102"/>
      <c r="H26" s="102">
        <f>24</f>
        <v>24</v>
      </c>
      <c r="I26" s="102">
        <v>0</v>
      </c>
      <c r="J26" s="104">
        <v>0</v>
      </c>
      <c r="K26" s="147">
        <f t="shared" ref="K26:K46" si="10">SUM(H26:J26)</f>
        <v>24</v>
      </c>
      <c r="L26" s="104">
        <v>0</v>
      </c>
      <c r="M26" s="103">
        <v>0</v>
      </c>
      <c r="N26" s="102">
        <f t="shared" si="0"/>
        <v>24</v>
      </c>
      <c r="O26" s="104">
        <v>0</v>
      </c>
      <c r="P26" s="104">
        <v>0</v>
      </c>
      <c r="Q26" s="177">
        <f t="shared" si="1"/>
        <v>24</v>
      </c>
    </row>
    <row r="27" spans="1:18" ht="28.5" customHeight="1" x14ac:dyDescent="0.25">
      <c r="A27" s="43" t="s">
        <v>293</v>
      </c>
      <c r="B27" s="47" t="s">
        <v>294</v>
      </c>
      <c r="C27" s="102">
        <v>0</v>
      </c>
      <c r="D27" s="102">
        <f>40</f>
        <v>40</v>
      </c>
      <c r="E27" s="103">
        <v>0</v>
      </c>
      <c r="F27" s="102">
        <f>SUM(C27:E27)</f>
        <v>40</v>
      </c>
      <c r="G27" s="104">
        <v>0</v>
      </c>
      <c r="H27" s="104">
        <f t="shared" si="3"/>
        <v>40</v>
      </c>
      <c r="I27" s="104">
        <v>0</v>
      </c>
      <c r="J27" s="104">
        <v>0</v>
      </c>
      <c r="K27" s="147">
        <f>SUM(H27:J27)</f>
        <v>40</v>
      </c>
      <c r="L27" s="104">
        <v>0</v>
      </c>
      <c r="M27" s="103">
        <v>0</v>
      </c>
      <c r="N27" s="102">
        <f t="shared" si="0"/>
        <v>40</v>
      </c>
      <c r="O27" s="104">
        <v>0</v>
      </c>
      <c r="P27" s="104">
        <v>0</v>
      </c>
      <c r="Q27" s="177">
        <f>SUM(N27:P27)</f>
        <v>40</v>
      </c>
    </row>
    <row r="28" spans="1:18" ht="39" customHeight="1" x14ac:dyDescent="0.25">
      <c r="A28" s="43" t="s">
        <v>351</v>
      </c>
      <c r="B28" s="47" t="s">
        <v>296</v>
      </c>
      <c r="C28" s="102">
        <v>0</v>
      </c>
      <c r="D28" s="102"/>
      <c r="E28" s="103"/>
      <c r="F28" s="102"/>
      <c r="G28" s="104"/>
      <c r="H28" s="104">
        <v>0</v>
      </c>
      <c r="I28" s="104">
        <v>0</v>
      </c>
      <c r="J28" s="104">
        <f>15</f>
        <v>15</v>
      </c>
      <c r="K28" s="147">
        <f>SUM(H28:J28)</f>
        <v>15</v>
      </c>
      <c r="L28" s="104">
        <v>0</v>
      </c>
      <c r="M28" s="103">
        <v>0</v>
      </c>
      <c r="N28" s="102">
        <f t="shared" si="0"/>
        <v>15</v>
      </c>
      <c r="O28" s="104">
        <v>0</v>
      </c>
      <c r="P28" s="104">
        <v>0</v>
      </c>
      <c r="Q28" s="177">
        <f t="shared" si="1"/>
        <v>15</v>
      </c>
    </row>
    <row r="29" spans="1:18" ht="27" customHeight="1" x14ac:dyDescent="0.25">
      <c r="A29" s="43" t="s">
        <v>350</v>
      </c>
      <c r="B29" s="47" t="s">
        <v>98</v>
      </c>
      <c r="C29" s="102">
        <v>0</v>
      </c>
      <c r="D29" s="102"/>
      <c r="E29" s="103"/>
      <c r="F29" s="102"/>
      <c r="G29" s="104"/>
      <c r="H29" s="104">
        <v>0</v>
      </c>
      <c r="I29" s="104">
        <v>0</v>
      </c>
      <c r="J29" s="104">
        <f>35</f>
        <v>35</v>
      </c>
      <c r="K29" s="147">
        <f>SUM(H29:J29)</f>
        <v>35</v>
      </c>
      <c r="L29" s="104">
        <v>0</v>
      </c>
      <c r="M29" s="103">
        <v>0</v>
      </c>
      <c r="N29" s="102">
        <f t="shared" si="0"/>
        <v>35</v>
      </c>
      <c r="O29" s="104">
        <v>0</v>
      </c>
      <c r="P29" s="104">
        <v>0</v>
      </c>
      <c r="Q29" s="177">
        <f t="shared" si="1"/>
        <v>35</v>
      </c>
    </row>
    <row r="30" spans="1:18" ht="16.5" customHeight="1" x14ac:dyDescent="0.25">
      <c r="A30" s="43" t="s">
        <v>381</v>
      </c>
      <c r="B30" s="47" t="s">
        <v>45</v>
      </c>
      <c r="C30" s="102">
        <v>0</v>
      </c>
      <c r="D30" s="102"/>
      <c r="E30" s="103"/>
      <c r="F30" s="102"/>
      <c r="G30" s="104"/>
      <c r="H30" s="104"/>
      <c r="I30" s="104"/>
      <c r="J30" s="104"/>
      <c r="K30" s="147">
        <v>0</v>
      </c>
      <c r="L30" s="104">
        <v>0</v>
      </c>
      <c r="M30" s="103">
        <f>20</f>
        <v>20</v>
      </c>
      <c r="N30" s="102">
        <f>SUM(K30:M30)</f>
        <v>20</v>
      </c>
      <c r="O30" s="104">
        <v>0</v>
      </c>
      <c r="P30" s="104">
        <v>0</v>
      </c>
      <c r="Q30" s="177">
        <f t="shared" si="1"/>
        <v>20</v>
      </c>
    </row>
    <row r="31" spans="1:18" ht="26.25" customHeight="1" x14ac:dyDescent="0.25">
      <c r="A31" s="43" t="s">
        <v>318</v>
      </c>
      <c r="B31" s="47" t="s">
        <v>112</v>
      </c>
      <c r="C31" s="102">
        <v>0</v>
      </c>
      <c r="D31" s="102">
        <f>50</f>
        <v>50</v>
      </c>
      <c r="E31" s="103">
        <v>0</v>
      </c>
      <c r="F31" s="102">
        <f>SUM(C31:E31)</f>
        <v>50</v>
      </c>
      <c r="G31" s="104">
        <v>0</v>
      </c>
      <c r="H31" s="104">
        <f t="shared" ref="H31:H37" si="11">SUM(F31:G31)</f>
        <v>50</v>
      </c>
      <c r="I31" s="104">
        <v>0</v>
      </c>
      <c r="J31" s="104">
        <v>0</v>
      </c>
      <c r="K31" s="147">
        <f t="shared" si="10"/>
        <v>50</v>
      </c>
      <c r="L31" s="104">
        <v>0</v>
      </c>
      <c r="M31" s="103">
        <v>0</v>
      </c>
      <c r="N31" s="102">
        <f t="shared" si="0"/>
        <v>50</v>
      </c>
      <c r="O31" s="104">
        <v>0</v>
      </c>
      <c r="P31" s="104">
        <v>0</v>
      </c>
      <c r="Q31" s="177">
        <f t="shared" si="1"/>
        <v>50</v>
      </c>
    </row>
    <row r="32" spans="1:18" ht="27.75" customHeight="1" x14ac:dyDescent="0.25">
      <c r="A32" s="43" t="s">
        <v>319</v>
      </c>
      <c r="B32" s="47" t="s">
        <v>116</v>
      </c>
      <c r="C32" s="102">
        <v>0</v>
      </c>
      <c r="D32" s="102"/>
      <c r="E32" s="103"/>
      <c r="F32" s="102">
        <v>0</v>
      </c>
      <c r="G32" s="104">
        <f>15</f>
        <v>15</v>
      </c>
      <c r="H32" s="104">
        <f t="shared" si="11"/>
        <v>15</v>
      </c>
      <c r="I32" s="104">
        <v>0</v>
      </c>
      <c r="J32" s="104">
        <v>0</v>
      </c>
      <c r="K32" s="147">
        <f t="shared" si="10"/>
        <v>15</v>
      </c>
      <c r="L32" s="104">
        <v>0</v>
      </c>
      <c r="M32" s="103">
        <v>0</v>
      </c>
      <c r="N32" s="102">
        <f t="shared" si="0"/>
        <v>15</v>
      </c>
      <c r="O32" s="104">
        <v>0</v>
      </c>
      <c r="P32" s="104">
        <f>-4.3</f>
        <v>-4.3</v>
      </c>
      <c r="Q32" s="177">
        <f t="shared" si="1"/>
        <v>10.7</v>
      </c>
    </row>
    <row r="33" spans="1:18" ht="15" customHeight="1" x14ac:dyDescent="0.25">
      <c r="A33" s="48" t="s">
        <v>266</v>
      </c>
      <c r="B33" s="49" t="s">
        <v>267</v>
      </c>
      <c r="C33" s="104">
        <v>0</v>
      </c>
      <c r="D33" s="104">
        <f>28</f>
        <v>28</v>
      </c>
      <c r="E33" s="105">
        <v>0</v>
      </c>
      <c r="F33" s="104">
        <f>SUM(C33:E33)</f>
        <v>28</v>
      </c>
      <c r="G33" s="104">
        <v>0</v>
      </c>
      <c r="H33" s="104">
        <f t="shared" si="11"/>
        <v>28</v>
      </c>
      <c r="I33" s="104">
        <v>0</v>
      </c>
      <c r="J33" s="104">
        <v>0</v>
      </c>
      <c r="K33" s="147">
        <f t="shared" si="10"/>
        <v>28</v>
      </c>
      <c r="L33" s="104">
        <v>0</v>
      </c>
      <c r="M33" s="103">
        <v>0</v>
      </c>
      <c r="N33" s="102">
        <f t="shared" si="0"/>
        <v>28</v>
      </c>
      <c r="O33" s="104">
        <v>0</v>
      </c>
      <c r="P33" s="104">
        <v>0</v>
      </c>
      <c r="Q33" s="177">
        <f t="shared" si="1"/>
        <v>28</v>
      </c>
    </row>
    <row r="34" spans="1:18" ht="24.75" customHeight="1" x14ac:dyDescent="0.25">
      <c r="A34" s="48" t="s">
        <v>314</v>
      </c>
      <c r="B34" s="49" t="s">
        <v>45</v>
      </c>
      <c r="C34" s="104">
        <v>0</v>
      </c>
      <c r="D34" s="104"/>
      <c r="E34" s="105"/>
      <c r="F34" s="104">
        <v>0</v>
      </c>
      <c r="G34" s="104">
        <f>30</f>
        <v>30</v>
      </c>
      <c r="H34" s="104">
        <f t="shared" si="11"/>
        <v>30</v>
      </c>
      <c r="I34" s="104">
        <v>0</v>
      </c>
      <c r="J34" s="104">
        <v>0</v>
      </c>
      <c r="K34" s="147">
        <f t="shared" si="10"/>
        <v>30</v>
      </c>
      <c r="L34" s="104">
        <v>0</v>
      </c>
      <c r="M34" s="103">
        <v>0</v>
      </c>
      <c r="N34" s="102">
        <f t="shared" si="0"/>
        <v>30</v>
      </c>
      <c r="O34" s="104">
        <v>0</v>
      </c>
      <c r="P34" s="104">
        <v>0</v>
      </c>
      <c r="Q34" s="177">
        <f t="shared" si="1"/>
        <v>30</v>
      </c>
    </row>
    <row r="35" spans="1:18" ht="17.25" customHeight="1" x14ac:dyDescent="0.25">
      <c r="A35" s="48" t="s">
        <v>317</v>
      </c>
      <c r="B35" s="49" t="s">
        <v>119</v>
      </c>
      <c r="C35" s="104">
        <v>0</v>
      </c>
      <c r="D35" s="104"/>
      <c r="E35" s="105"/>
      <c r="F35" s="104">
        <v>0</v>
      </c>
      <c r="G35" s="104">
        <f>75</f>
        <v>75</v>
      </c>
      <c r="H35" s="104">
        <f t="shared" si="11"/>
        <v>75</v>
      </c>
      <c r="I35" s="104">
        <v>0</v>
      </c>
      <c r="J35" s="104">
        <v>0</v>
      </c>
      <c r="K35" s="147">
        <f t="shared" si="10"/>
        <v>75</v>
      </c>
      <c r="L35" s="104">
        <v>0</v>
      </c>
      <c r="M35" s="103">
        <v>0</v>
      </c>
      <c r="N35" s="102">
        <f t="shared" si="0"/>
        <v>75</v>
      </c>
      <c r="O35" s="104">
        <v>0</v>
      </c>
      <c r="P35" s="104">
        <v>0</v>
      </c>
      <c r="Q35" s="177">
        <f t="shared" si="1"/>
        <v>75</v>
      </c>
    </row>
    <row r="36" spans="1:18" ht="15.75" customHeight="1" x14ac:dyDescent="0.25">
      <c r="A36" s="48" t="s">
        <v>315</v>
      </c>
      <c r="B36" s="49" t="s">
        <v>112</v>
      </c>
      <c r="C36" s="104">
        <v>0</v>
      </c>
      <c r="D36" s="104"/>
      <c r="E36" s="105"/>
      <c r="F36" s="104">
        <v>0</v>
      </c>
      <c r="G36" s="104">
        <f>100</f>
        <v>100</v>
      </c>
      <c r="H36" s="104">
        <f t="shared" si="11"/>
        <v>100</v>
      </c>
      <c r="I36" s="104">
        <v>0</v>
      </c>
      <c r="J36" s="104">
        <v>0</v>
      </c>
      <c r="K36" s="147">
        <f t="shared" si="10"/>
        <v>100</v>
      </c>
      <c r="L36" s="104">
        <v>0</v>
      </c>
      <c r="M36" s="103">
        <v>0</v>
      </c>
      <c r="N36" s="102">
        <f t="shared" si="0"/>
        <v>100</v>
      </c>
      <c r="O36" s="104">
        <v>0</v>
      </c>
      <c r="P36" s="104">
        <v>0</v>
      </c>
      <c r="Q36" s="177">
        <f t="shared" si="1"/>
        <v>100</v>
      </c>
    </row>
    <row r="37" spans="1:18" ht="27" customHeight="1" x14ac:dyDescent="0.25">
      <c r="A37" s="48" t="s">
        <v>311</v>
      </c>
      <c r="B37" s="49" t="s">
        <v>112</v>
      </c>
      <c r="C37" s="104">
        <v>0</v>
      </c>
      <c r="D37" s="104"/>
      <c r="E37" s="105"/>
      <c r="F37" s="104">
        <v>0</v>
      </c>
      <c r="G37" s="104">
        <f>50</f>
        <v>50</v>
      </c>
      <c r="H37" s="104">
        <f t="shared" si="11"/>
        <v>50</v>
      </c>
      <c r="I37" s="104">
        <v>0</v>
      </c>
      <c r="J37" s="104">
        <v>0</v>
      </c>
      <c r="K37" s="147">
        <f t="shared" si="10"/>
        <v>50</v>
      </c>
      <c r="L37" s="104">
        <v>0</v>
      </c>
      <c r="M37" s="103">
        <v>0</v>
      </c>
      <c r="N37" s="102">
        <f t="shared" si="0"/>
        <v>50</v>
      </c>
      <c r="O37" s="104">
        <v>0</v>
      </c>
      <c r="P37" s="104">
        <v>0</v>
      </c>
      <c r="Q37" s="177">
        <f t="shared" si="1"/>
        <v>50</v>
      </c>
    </row>
    <row r="38" spans="1:18" ht="36" customHeight="1" x14ac:dyDescent="0.25">
      <c r="A38" s="48" t="s">
        <v>295</v>
      </c>
      <c r="B38" s="49" t="s">
        <v>296</v>
      </c>
      <c r="C38" s="104">
        <v>0</v>
      </c>
      <c r="D38" s="104">
        <f>20</f>
        <v>20</v>
      </c>
      <c r="E38" s="105">
        <v>0</v>
      </c>
      <c r="F38" s="104">
        <f>SUM(C38:E38)</f>
        <v>20</v>
      </c>
      <c r="G38" s="104">
        <v>0</v>
      </c>
      <c r="H38" s="104">
        <f t="shared" si="3"/>
        <v>20</v>
      </c>
      <c r="I38" s="104">
        <v>0</v>
      </c>
      <c r="J38" s="104">
        <v>0</v>
      </c>
      <c r="K38" s="147">
        <f t="shared" si="10"/>
        <v>20</v>
      </c>
      <c r="L38" s="104">
        <v>0</v>
      </c>
      <c r="M38" s="103">
        <v>0</v>
      </c>
      <c r="N38" s="102">
        <f t="shared" si="0"/>
        <v>20</v>
      </c>
      <c r="O38" s="104">
        <v>0</v>
      </c>
      <c r="P38" s="104">
        <v>0</v>
      </c>
      <c r="Q38" s="177">
        <f t="shared" si="1"/>
        <v>20</v>
      </c>
    </row>
    <row r="39" spans="1:18" ht="28.5" customHeight="1" x14ac:dyDescent="0.25">
      <c r="A39" s="48" t="s">
        <v>341</v>
      </c>
      <c r="B39" s="49" t="s">
        <v>262</v>
      </c>
      <c r="C39" s="104">
        <v>0</v>
      </c>
      <c r="D39" s="104"/>
      <c r="E39" s="105"/>
      <c r="F39" s="104"/>
      <c r="G39" s="104"/>
      <c r="H39" s="104">
        <f>18</f>
        <v>18</v>
      </c>
      <c r="I39" s="104">
        <v>0</v>
      </c>
      <c r="J39" s="104">
        <v>0</v>
      </c>
      <c r="K39" s="147">
        <f t="shared" si="10"/>
        <v>18</v>
      </c>
      <c r="L39" s="104">
        <v>0</v>
      </c>
      <c r="M39" s="103">
        <v>0</v>
      </c>
      <c r="N39" s="102">
        <f t="shared" si="0"/>
        <v>18</v>
      </c>
      <c r="O39" s="104">
        <v>0</v>
      </c>
      <c r="P39" s="104">
        <f>-0.2</f>
        <v>-0.2</v>
      </c>
      <c r="Q39" s="177">
        <f t="shared" si="1"/>
        <v>17.8</v>
      </c>
    </row>
    <row r="40" spans="1:18" ht="49.5" customHeight="1" x14ac:dyDescent="0.25">
      <c r="A40" s="48" t="s">
        <v>269</v>
      </c>
      <c r="B40" s="49" t="s">
        <v>262</v>
      </c>
      <c r="C40" s="104">
        <v>0</v>
      </c>
      <c r="D40" s="104">
        <f>50</f>
        <v>50</v>
      </c>
      <c r="E40" s="105">
        <v>0</v>
      </c>
      <c r="F40" s="104">
        <f t="shared" ref="F40:F45" si="12">SUM(C40:E40)</f>
        <v>50</v>
      </c>
      <c r="G40" s="104">
        <v>0</v>
      </c>
      <c r="H40" s="104">
        <f>SUM(F40:G40)</f>
        <v>50</v>
      </c>
      <c r="I40" s="104">
        <v>0</v>
      </c>
      <c r="J40" s="104">
        <v>0</v>
      </c>
      <c r="K40" s="115">
        <f t="shared" si="10"/>
        <v>50</v>
      </c>
      <c r="L40" s="104">
        <v>0</v>
      </c>
      <c r="M40" s="105">
        <v>0</v>
      </c>
      <c r="N40" s="104">
        <f>SUM(K40:M40)</f>
        <v>50</v>
      </c>
      <c r="O40" s="104">
        <v>0</v>
      </c>
      <c r="P40" s="104">
        <v>0</v>
      </c>
      <c r="Q40" s="177">
        <f t="shared" si="1"/>
        <v>50</v>
      </c>
    </row>
    <row r="41" spans="1:18" ht="39" customHeight="1" x14ac:dyDescent="0.25">
      <c r="A41" s="48" t="s">
        <v>379</v>
      </c>
      <c r="B41" s="49" t="s">
        <v>116</v>
      </c>
      <c r="C41" s="104">
        <v>0</v>
      </c>
      <c r="D41" s="104"/>
      <c r="E41" s="105"/>
      <c r="F41" s="106">
        <v>0</v>
      </c>
      <c r="G41" s="104">
        <f>150</f>
        <v>150</v>
      </c>
      <c r="H41" s="104">
        <f>SUM(F41:G41)</f>
        <v>150</v>
      </c>
      <c r="I41" s="104">
        <v>0</v>
      </c>
      <c r="J41" s="104">
        <v>0</v>
      </c>
      <c r="K41" s="147">
        <f t="shared" si="10"/>
        <v>150</v>
      </c>
      <c r="L41" s="104">
        <v>0</v>
      </c>
      <c r="M41" s="103">
        <v>0</v>
      </c>
      <c r="N41" s="102">
        <f>SUM(K41:M41)</f>
        <v>150</v>
      </c>
      <c r="O41" s="104">
        <v>0</v>
      </c>
      <c r="P41" s="104">
        <v>0</v>
      </c>
      <c r="Q41" s="177">
        <f t="shared" si="1"/>
        <v>150</v>
      </c>
    </row>
    <row r="42" spans="1:18" ht="39" customHeight="1" x14ac:dyDescent="0.25">
      <c r="A42" s="48" t="s">
        <v>380</v>
      </c>
      <c r="B42" s="49" t="s">
        <v>45</v>
      </c>
      <c r="C42" s="104">
        <v>0</v>
      </c>
      <c r="D42" s="104"/>
      <c r="E42" s="105"/>
      <c r="F42" s="106"/>
      <c r="G42" s="104"/>
      <c r="H42" s="104"/>
      <c r="I42" s="104"/>
      <c r="J42" s="104"/>
      <c r="K42" s="147">
        <v>0</v>
      </c>
      <c r="L42" s="104">
        <v>0</v>
      </c>
      <c r="M42" s="103">
        <f>150</f>
        <v>150</v>
      </c>
      <c r="N42" s="102">
        <f>SUM(K42:M42)</f>
        <v>150</v>
      </c>
      <c r="O42" s="104">
        <v>0</v>
      </c>
      <c r="P42" s="104">
        <v>0</v>
      </c>
      <c r="Q42" s="177">
        <f t="shared" si="1"/>
        <v>150</v>
      </c>
    </row>
    <row r="43" spans="1:18" ht="16.5" customHeight="1" x14ac:dyDescent="0.25">
      <c r="A43" s="48" t="s">
        <v>326</v>
      </c>
      <c r="B43" s="49" t="s">
        <v>98</v>
      </c>
      <c r="C43" s="104">
        <v>0</v>
      </c>
      <c r="D43" s="104"/>
      <c r="E43" s="105"/>
      <c r="F43" s="104">
        <v>0</v>
      </c>
      <c r="G43" s="104">
        <f>50</f>
        <v>50</v>
      </c>
      <c r="H43" s="104">
        <f>SUM(F43:G43)</f>
        <v>50</v>
      </c>
      <c r="I43" s="104">
        <v>0</v>
      </c>
      <c r="J43" s="104">
        <v>0</v>
      </c>
      <c r="K43" s="147">
        <f t="shared" si="10"/>
        <v>50</v>
      </c>
      <c r="L43" s="104">
        <v>0</v>
      </c>
      <c r="M43" s="103">
        <v>0</v>
      </c>
      <c r="N43" s="102">
        <f t="shared" ref="N43:N113" si="13">SUM(K43:M43)</f>
        <v>50</v>
      </c>
      <c r="O43" s="104">
        <v>0</v>
      </c>
      <c r="P43" s="104">
        <v>0</v>
      </c>
      <c r="Q43" s="177">
        <f t="shared" si="1"/>
        <v>50</v>
      </c>
    </row>
    <row r="44" spans="1:18" ht="25.5" x14ac:dyDescent="0.25">
      <c r="A44" s="48" t="s">
        <v>343</v>
      </c>
      <c r="B44" s="49" t="s">
        <v>262</v>
      </c>
      <c r="C44" s="104">
        <v>0</v>
      </c>
      <c r="D44" s="104"/>
      <c r="E44" s="105"/>
      <c r="F44" s="104"/>
      <c r="G44" s="104"/>
      <c r="H44" s="104">
        <v>50</v>
      </c>
      <c r="I44" s="104">
        <v>0</v>
      </c>
      <c r="J44" s="104">
        <v>0</v>
      </c>
      <c r="K44" s="147">
        <f t="shared" si="10"/>
        <v>50</v>
      </c>
      <c r="L44" s="104">
        <v>0</v>
      </c>
      <c r="M44" s="103">
        <v>0</v>
      </c>
      <c r="N44" s="102">
        <f t="shared" si="13"/>
        <v>50</v>
      </c>
      <c r="O44" s="104">
        <v>0</v>
      </c>
      <c r="P44" s="104">
        <v>0</v>
      </c>
      <c r="Q44" s="177">
        <f t="shared" si="1"/>
        <v>50</v>
      </c>
    </row>
    <row r="45" spans="1:18" ht="16.5" customHeight="1" x14ac:dyDescent="0.25">
      <c r="A45" s="43" t="s">
        <v>270</v>
      </c>
      <c r="B45" s="93" t="s">
        <v>119</v>
      </c>
      <c r="C45" s="102">
        <v>0</v>
      </c>
      <c r="D45" s="102">
        <v>0</v>
      </c>
      <c r="E45" s="102">
        <v>80</v>
      </c>
      <c r="F45" s="108">
        <f t="shared" si="12"/>
        <v>80</v>
      </c>
      <c r="G45" s="102">
        <v>0</v>
      </c>
      <c r="H45" s="102">
        <f t="shared" si="3"/>
        <v>80</v>
      </c>
      <c r="I45" s="102">
        <v>0</v>
      </c>
      <c r="J45" s="104">
        <v>0</v>
      </c>
      <c r="K45" s="147">
        <f t="shared" si="10"/>
        <v>80</v>
      </c>
      <c r="L45" s="104">
        <v>0</v>
      </c>
      <c r="M45" s="103">
        <v>0</v>
      </c>
      <c r="N45" s="102">
        <f t="shared" si="13"/>
        <v>80</v>
      </c>
      <c r="O45" s="104">
        <v>0</v>
      </c>
      <c r="P45" s="104">
        <v>0</v>
      </c>
      <c r="Q45" s="177">
        <f t="shared" si="1"/>
        <v>80</v>
      </c>
    </row>
    <row r="46" spans="1:18" ht="17.25" customHeight="1" thickBot="1" x14ac:dyDescent="0.3">
      <c r="A46" s="44" t="s">
        <v>28</v>
      </c>
      <c r="B46" s="45"/>
      <c r="C46" s="106">
        <v>7639</v>
      </c>
      <c r="D46" s="106">
        <f>-50-28-100</f>
        <v>-178</v>
      </c>
      <c r="E46" s="107">
        <v>-80</v>
      </c>
      <c r="F46" s="106">
        <f>SUM(C46:E46)</f>
        <v>7381</v>
      </c>
      <c r="G46" s="106">
        <f>-50-130-90-200</f>
        <v>-470</v>
      </c>
      <c r="H46" s="106">
        <f>SUM(F46:G46)-92-50</f>
        <v>6769</v>
      </c>
      <c r="I46" s="106">
        <v>0</v>
      </c>
      <c r="J46" s="106">
        <f>-50</f>
        <v>-50</v>
      </c>
      <c r="K46" s="113">
        <f t="shared" si="10"/>
        <v>6719</v>
      </c>
      <c r="L46" s="106">
        <f>400</f>
        <v>400</v>
      </c>
      <c r="M46" s="137">
        <f>-170</f>
        <v>-170</v>
      </c>
      <c r="N46" s="108">
        <f t="shared" si="13"/>
        <v>6949</v>
      </c>
      <c r="O46" s="106">
        <v>0</v>
      </c>
      <c r="P46" s="106">
        <f>4.5+21</f>
        <v>25.5</v>
      </c>
      <c r="Q46" s="186">
        <f t="shared" si="1"/>
        <v>6974.5</v>
      </c>
    </row>
    <row r="47" spans="1:18" ht="16.5" customHeight="1" thickBot="1" x14ac:dyDescent="0.3">
      <c r="A47" s="145" t="s">
        <v>29</v>
      </c>
      <c r="B47" s="46"/>
      <c r="C47" s="123">
        <f t="shared" ref="C47:J47" si="14">SUM(C49:C51)</f>
        <v>324123</v>
      </c>
      <c r="D47" s="123">
        <f t="shared" si="14"/>
        <v>-50</v>
      </c>
      <c r="E47" s="124">
        <f t="shared" si="14"/>
        <v>0</v>
      </c>
      <c r="F47" s="123">
        <f t="shared" si="14"/>
        <v>324073</v>
      </c>
      <c r="G47" s="123">
        <f t="shared" si="14"/>
        <v>4.59</v>
      </c>
      <c r="H47" s="123">
        <f t="shared" si="14"/>
        <v>325921.59000000003</v>
      </c>
      <c r="I47" s="123">
        <f t="shared" si="14"/>
        <v>0</v>
      </c>
      <c r="J47" s="123">
        <f t="shared" si="14"/>
        <v>25278.06</v>
      </c>
      <c r="K47" s="153">
        <f>SUM(H47:J47)</f>
        <v>351199.65</v>
      </c>
      <c r="L47" s="123">
        <f>SUM(L49:L51)</f>
        <v>0</v>
      </c>
      <c r="M47" s="124">
        <f>SUM(M49:M51)</f>
        <v>1815.5</v>
      </c>
      <c r="N47" s="123">
        <f t="shared" si="13"/>
        <v>353015.15</v>
      </c>
      <c r="O47" s="123">
        <f>SUM(O49:O51)</f>
        <v>0</v>
      </c>
      <c r="P47" s="123">
        <f>SUM(P49:P51)</f>
        <v>43.430000000000007</v>
      </c>
      <c r="Q47" s="176">
        <f t="shared" si="1"/>
        <v>353058.58</v>
      </c>
      <c r="R47" s="122"/>
    </row>
    <row r="48" spans="1:18" ht="14.25" customHeight="1" x14ac:dyDescent="0.25">
      <c r="A48" s="43" t="s">
        <v>27</v>
      </c>
      <c r="B48" s="47"/>
      <c r="C48" s="16"/>
      <c r="D48" s="16"/>
      <c r="E48" s="82"/>
      <c r="F48" s="16"/>
      <c r="G48" s="16"/>
      <c r="H48" s="102"/>
      <c r="I48" s="102"/>
      <c r="J48" s="102"/>
      <c r="K48" s="147"/>
      <c r="L48" s="102"/>
      <c r="M48" s="103"/>
      <c r="N48" s="102"/>
      <c r="O48" s="102"/>
      <c r="P48" s="102"/>
      <c r="Q48" s="169"/>
    </row>
    <row r="49" spans="1:18" ht="15" customHeight="1" x14ac:dyDescent="0.25">
      <c r="A49" s="48" t="s">
        <v>30</v>
      </c>
      <c r="B49" s="49"/>
      <c r="C49" s="19">
        <v>700</v>
      </c>
      <c r="D49" s="19">
        <v>0</v>
      </c>
      <c r="E49" s="83">
        <v>0</v>
      </c>
      <c r="F49" s="19">
        <f>SUM(C49:E49)</f>
        <v>700</v>
      </c>
      <c r="G49" s="19">
        <f>4.59</f>
        <v>4.59</v>
      </c>
      <c r="H49" s="104">
        <f t="shared" si="3"/>
        <v>704.59</v>
      </c>
      <c r="I49" s="104">
        <v>0</v>
      </c>
      <c r="J49" s="104">
        <f>49.13</f>
        <v>49.13</v>
      </c>
      <c r="K49" s="147">
        <f t="shared" ref="K49:K126" si="15">SUM(H49:J49)</f>
        <v>753.72</v>
      </c>
      <c r="L49" s="104">
        <v>0</v>
      </c>
      <c r="M49" s="103">
        <v>0</v>
      </c>
      <c r="N49" s="102">
        <f t="shared" si="13"/>
        <v>753.72</v>
      </c>
      <c r="O49" s="104">
        <v>0</v>
      </c>
      <c r="P49" s="104">
        <f>113.43</f>
        <v>113.43</v>
      </c>
      <c r="Q49" s="177">
        <f t="shared" si="1"/>
        <v>867.15000000000009</v>
      </c>
    </row>
    <row r="50" spans="1:18" ht="15" customHeight="1" x14ac:dyDescent="0.25">
      <c r="A50" s="48" t="s">
        <v>31</v>
      </c>
      <c r="B50" s="49"/>
      <c r="C50" s="19">
        <v>12655</v>
      </c>
      <c r="D50" s="19">
        <v>0</v>
      </c>
      <c r="E50" s="83">
        <v>0</v>
      </c>
      <c r="F50" s="19">
        <f t="shared" ref="F50:F51" si="16">SUM(C50:E50)</f>
        <v>12655</v>
      </c>
      <c r="G50" s="19">
        <v>0</v>
      </c>
      <c r="H50" s="104">
        <f t="shared" si="3"/>
        <v>12655</v>
      </c>
      <c r="I50" s="104">
        <v>0</v>
      </c>
      <c r="J50" s="104">
        <v>0</v>
      </c>
      <c r="K50" s="147">
        <f t="shared" si="15"/>
        <v>12655</v>
      </c>
      <c r="L50" s="104">
        <v>0</v>
      </c>
      <c r="M50" s="103">
        <v>0</v>
      </c>
      <c r="N50" s="102">
        <f t="shared" si="13"/>
        <v>12655</v>
      </c>
      <c r="O50" s="104">
        <v>0</v>
      </c>
      <c r="P50" s="104">
        <v>0</v>
      </c>
      <c r="Q50" s="177">
        <f t="shared" si="1"/>
        <v>12655</v>
      </c>
    </row>
    <row r="51" spans="1:18" ht="15" customHeight="1" thickBot="1" x14ac:dyDescent="0.3">
      <c r="A51" s="44" t="s">
        <v>32</v>
      </c>
      <c r="B51" s="45"/>
      <c r="C51" s="22">
        <v>310768</v>
      </c>
      <c r="D51" s="22">
        <f>-50</f>
        <v>-50</v>
      </c>
      <c r="E51" s="84">
        <v>0</v>
      </c>
      <c r="F51" s="22">
        <f t="shared" si="16"/>
        <v>310718</v>
      </c>
      <c r="G51" s="22">
        <v>0</v>
      </c>
      <c r="H51" s="106">
        <f>SUM(F51:G51)+1844</f>
        <v>312562</v>
      </c>
      <c r="I51" s="106">
        <v>0</v>
      </c>
      <c r="J51" s="106">
        <f>30.53+20518.97+4659.43+20</f>
        <v>25228.93</v>
      </c>
      <c r="K51" s="209">
        <f t="shared" si="15"/>
        <v>337790.93</v>
      </c>
      <c r="L51" s="106">
        <v>0</v>
      </c>
      <c r="M51" s="137">
        <f>1815.5</f>
        <v>1815.5</v>
      </c>
      <c r="N51" s="108">
        <f t="shared" si="13"/>
        <v>339606.43</v>
      </c>
      <c r="O51" s="106">
        <v>0</v>
      </c>
      <c r="P51" s="106">
        <f>-70</f>
        <v>-70</v>
      </c>
      <c r="Q51" s="186">
        <f t="shared" si="1"/>
        <v>339536.43</v>
      </c>
    </row>
    <row r="52" spans="1:18" ht="14.25" customHeight="1" thickBot="1" x14ac:dyDescent="0.3">
      <c r="A52" s="40" t="s">
        <v>33</v>
      </c>
      <c r="B52" s="50"/>
      <c r="C52" s="42">
        <f t="shared" ref="C52:J52" si="17">SUM(C54:C59)</f>
        <v>49692.41</v>
      </c>
      <c r="D52" s="42">
        <f t="shared" si="17"/>
        <v>77.22999999999999</v>
      </c>
      <c r="E52" s="88">
        <f t="shared" si="17"/>
        <v>6377.25</v>
      </c>
      <c r="F52" s="42">
        <f t="shared" si="17"/>
        <v>56146.89</v>
      </c>
      <c r="G52" s="42">
        <f t="shared" si="17"/>
        <v>0</v>
      </c>
      <c r="H52" s="42">
        <f t="shared" si="17"/>
        <v>56146.89</v>
      </c>
      <c r="I52" s="42">
        <f t="shared" si="17"/>
        <v>0</v>
      </c>
      <c r="J52" s="42">
        <f t="shared" si="17"/>
        <v>0</v>
      </c>
      <c r="K52" s="153">
        <f t="shared" si="15"/>
        <v>56146.89</v>
      </c>
      <c r="L52" s="123">
        <f>SUM(L54:L59)</f>
        <v>3596.76</v>
      </c>
      <c r="M52" s="124">
        <f>SUM(M54:M59)</f>
        <v>0</v>
      </c>
      <c r="N52" s="123">
        <f t="shared" si="13"/>
        <v>59743.65</v>
      </c>
      <c r="O52" s="123">
        <f>SUM(O54:O59)</f>
        <v>-1500</v>
      </c>
      <c r="P52" s="123">
        <f>SUM(P54:P59)</f>
        <v>0</v>
      </c>
      <c r="Q52" s="176">
        <f t="shared" si="1"/>
        <v>58243.65</v>
      </c>
      <c r="R52" s="122"/>
    </row>
    <row r="53" spans="1:18" ht="12.75" customHeight="1" x14ac:dyDescent="0.25">
      <c r="A53" s="43" t="s">
        <v>27</v>
      </c>
      <c r="B53" s="47"/>
      <c r="C53" s="16"/>
      <c r="D53" s="16"/>
      <c r="E53" s="82"/>
      <c r="F53" s="16"/>
      <c r="G53" s="16"/>
      <c r="H53" s="102"/>
      <c r="I53" s="102"/>
      <c r="J53" s="102"/>
      <c r="K53" s="147"/>
      <c r="L53" s="102"/>
      <c r="M53" s="103"/>
      <c r="N53" s="102"/>
      <c r="O53" s="102"/>
      <c r="P53" s="102"/>
      <c r="Q53" s="169"/>
    </row>
    <row r="54" spans="1:18" ht="17.25" customHeight="1" x14ac:dyDescent="0.25">
      <c r="A54" s="33" t="s">
        <v>34</v>
      </c>
      <c r="B54" s="51"/>
      <c r="C54" s="19">
        <v>0</v>
      </c>
      <c r="D54" s="19">
        <f>20</f>
        <v>20</v>
      </c>
      <c r="E54" s="83">
        <v>0</v>
      </c>
      <c r="F54" s="19">
        <f>SUM(C54:E54)</f>
        <v>20</v>
      </c>
      <c r="G54" s="19">
        <v>0</v>
      </c>
      <c r="H54" s="104">
        <f t="shared" si="3"/>
        <v>20</v>
      </c>
      <c r="I54" s="104">
        <v>0</v>
      </c>
      <c r="J54" s="104">
        <v>0</v>
      </c>
      <c r="K54" s="147">
        <f t="shared" si="15"/>
        <v>20</v>
      </c>
      <c r="L54" s="104">
        <v>0</v>
      </c>
      <c r="M54" s="103">
        <v>0</v>
      </c>
      <c r="N54" s="102">
        <f t="shared" si="13"/>
        <v>20</v>
      </c>
      <c r="O54" s="104">
        <v>0</v>
      </c>
      <c r="P54" s="104">
        <v>0</v>
      </c>
      <c r="Q54" s="177">
        <f t="shared" si="1"/>
        <v>20</v>
      </c>
    </row>
    <row r="55" spans="1:18" ht="15" customHeight="1" x14ac:dyDescent="0.25">
      <c r="A55" s="48" t="s">
        <v>35</v>
      </c>
      <c r="B55" s="49" t="s">
        <v>36</v>
      </c>
      <c r="C55" s="19">
        <v>20000</v>
      </c>
      <c r="D55" s="19">
        <v>0</v>
      </c>
      <c r="E55" s="83">
        <v>0</v>
      </c>
      <c r="F55" s="19">
        <f t="shared" ref="F55:F59" si="18">SUM(C55:E55)</f>
        <v>20000</v>
      </c>
      <c r="G55" s="19">
        <v>0</v>
      </c>
      <c r="H55" s="104">
        <f t="shared" si="3"/>
        <v>20000</v>
      </c>
      <c r="I55" s="104">
        <v>0</v>
      </c>
      <c r="J55" s="104">
        <v>0</v>
      </c>
      <c r="K55" s="147">
        <f t="shared" si="15"/>
        <v>20000</v>
      </c>
      <c r="L55" s="104">
        <v>0</v>
      </c>
      <c r="M55" s="103">
        <v>0</v>
      </c>
      <c r="N55" s="102">
        <f t="shared" si="13"/>
        <v>20000</v>
      </c>
      <c r="O55" s="104">
        <v>0</v>
      </c>
      <c r="P55" s="104">
        <v>0</v>
      </c>
      <c r="Q55" s="177">
        <f t="shared" si="1"/>
        <v>20000</v>
      </c>
    </row>
    <row r="56" spans="1:18" ht="15" customHeight="1" x14ac:dyDescent="0.25">
      <c r="A56" s="48" t="s">
        <v>37</v>
      </c>
      <c r="B56" s="49"/>
      <c r="C56" s="19">
        <v>3215.41</v>
      </c>
      <c r="D56" s="19">
        <v>0</v>
      </c>
      <c r="E56" s="83">
        <v>0</v>
      </c>
      <c r="F56" s="19">
        <f t="shared" si="18"/>
        <v>3215.41</v>
      </c>
      <c r="G56" s="19">
        <v>0</v>
      </c>
      <c r="H56" s="104">
        <f t="shared" si="3"/>
        <v>3215.41</v>
      </c>
      <c r="I56" s="104">
        <v>0</v>
      </c>
      <c r="J56" s="104">
        <v>0</v>
      </c>
      <c r="K56" s="147">
        <f t="shared" si="15"/>
        <v>3215.41</v>
      </c>
      <c r="L56" s="104">
        <f>396.76</f>
        <v>396.76</v>
      </c>
      <c r="M56" s="103">
        <v>0</v>
      </c>
      <c r="N56" s="102">
        <f t="shared" si="13"/>
        <v>3612.17</v>
      </c>
      <c r="O56" s="104">
        <v>0</v>
      </c>
      <c r="P56" s="104">
        <v>0</v>
      </c>
      <c r="Q56" s="177">
        <f t="shared" si="1"/>
        <v>3612.17</v>
      </c>
    </row>
    <row r="57" spans="1:18" ht="15" customHeight="1" x14ac:dyDescent="0.25">
      <c r="A57" s="48" t="s">
        <v>38</v>
      </c>
      <c r="B57" s="49"/>
      <c r="C57" s="19">
        <v>200</v>
      </c>
      <c r="D57" s="19">
        <v>0</v>
      </c>
      <c r="E57" s="83">
        <v>0</v>
      </c>
      <c r="F57" s="19">
        <f t="shared" si="18"/>
        <v>200</v>
      </c>
      <c r="G57" s="19">
        <v>0</v>
      </c>
      <c r="H57" s="104">
        <f t="shared" si="3"/>
        <v>200</v>
      </c>
      <c r="I57" s="104">
        <v>0</v>
      </c>
      <c r="J57" s="104">
        <v>0</v>
      </c>
      <c r="K57" s="147">
        <f t="shared" si="15"/>
        <v>200</v>
      </c>
      <c r="L57" s="104">
        <v>0</v>
      </c>
      <c r="M57" s="103">
        <v>0</v>
      </c>
      <c r="N57" s="102">
        <f t="shared" si="13"/>
        <v>200</v>
      </c>
      <c r="O57" s="104">
        <v>0</v>
      </c>
      <c r="P57" s="104">
        <v>0</v>
      </c>
      <c r="Q57" s="177">
        <f t="shared" si="1"/>
        <v>200</v>
      </c>
    </row>
    <row r="58" spans="1:18" ht="15" customHeight="1" x14ac:dyDescent="0.25">
      <c r="A58" s="48" t="s">
        <v>39</v>
      </c>
      <c r="B58" s="49"/>
      <c r="C58" s="19">
        <v>2000</v>
      </c>
      <c r="D58" s="19">
        <v>0</v>
      </c>
      <c r="E58" s="83">
        <v>0</v>
      </c>
      <c r="F58" s="19">
        <f t="shared" si="18"/>
        <v>2000</v>
      </c>
      <c r="G58" s="19">
        <v>0</v>
      </c>
      <c r="H58" s="104">
        <f t="shared" si="3"/>
        <v>2000</v>
      </c>
      <c r="I58" s="104">
        <v>0</v>
      </c>
      <c r="J58" s="104">
        <v>0</v>
      </c>
      <c r="K58" s="147">
        <f t="shared" si="15"/>
        <v>2000</v>
      </c>
      <c r="L58" s="104">
        <v>0</v>
      </c>
      <c r="M58" s="103">
        <v>0</v>
      </c>
      <c r="N58" s="102">
        <f t="shared" si="13"/>
        <v>2000</v>
      </c>
      <c r="O58" s="104">
        <f>-1500</f>
        <v>-1500</v>
      </c>
      <c r="P58" s="104">
        <v>0</v>
      </c>
      <c r="Q58" s="177">
        <f t="shared" si="1"/>
        <v>500</v>
      </c>
    </row>
    <row r="59" spans="1:18" ht="15.75" customHeight="1" thickBot="1" x14ac:dyDescent="0.3">
      <c r="A59" s="44" t="s">
        <v>40</v>
      </c>
      <c r="B59" s="45"/>
      <c r="C59" s="22">
        <v>24277</v>
      </c>
      <c r="D59" s="22">
        <f>57.23</f>
        <v>57.23</v>
      </c>
      <c r="E59" s="84">
        <v>6377.25</v>
      </c>
      <c r="F59" s="22">
        <f t="shared" si="18"/>
        <v>30711.48</v>
      </c>
      <c r="G59" s="22">
        <v>0</v>
      </c>
      <c r="H59" s="106">
        <f t="shared" si="3"/>
        <v>30711.48</v>
      </c>
      <c r="I59" s="106">
        <v>0</v>
      </c>
      <c r="J59" s="106">
        <v>0</v>
      </c>
      <c r="K59" s="209">
        <f t="shared" si="15"/>
        <v>30711.48</v>
      </c>
      <c r="L59" s="106">
        <f>200+3000</f>
        <v>3200</v>
      </c>
      <c r="M59" s="137">
        <v>0</v>
      </c>
      <c r="N59" s="108">
        <f t="shared" si="13"/>
        <v>33911.479999999996</v>
      </c>
      <c r="O59" s="106">
        <v>0</v>
      </c>
      <c r="P59" s="106">
        <v>0</v>
      </c>
      <c r="Q59" s="186">
        <f t="shared" si="1"/>
        <v>33911.479999999996</v>
      </c>
    </row>
    <row r="60" spans="1:18" ht="14.25" customHeight="1" thickBot="1" x14ac:dyDescent="0.3">
      <c r="A60" s="40" t="s">
        <v>41</v>
      </c>
      <c r="B60" s="46"/>
      <c r="C60" s="42">
        <f t="shared" ref="C60:J60" si="19">SUM(C62:C63)</f>
        <v>154593.59</v>
      </c>
      <c r="D60" s="42">
        <f t="shared" si="19"/>
        <v>-7815.75</v>
      </c>
      <c r="E60" s="88">
        <f t="shared" si="19"/>
        <v>23563.32</v>
      </c>
      <c r="F60" s="42">
        <f t="shared" si="19"/>
        <v>170341.16</v>
      </c>
      <c r="G60" s="42">
        <f t="shared" si="19"/>
        <v>-732.61999999999989</v>
      </c>
      <c r="H60" s="42">
        <f t="shared" si="19"/>
        <v>168724.94</v>
      </c>
      <c r="I60" s="42">
        <f t="shared" si="19"/>
        <v>-4423.55</v>
      </c>
      <c r="J60" s="42">
        <f t="shared" si="19"/>
        <v>-3285.6000000000004</v>
      </c>
      <c r="K60" s="153">
        <f>SUM(K62:K63)</f>
        <v>161215.16</v>
      </c>
      <c r="L60" s="123">
        <f>SUM(L62:L63)</f>
        <v>7000</v>
      </c>
      <c r="M60" s="124">
        <f>SUM(M62:M63)</f>
        <v>-62</v>
      </c>
      <c r="N60" s="123">
        <f t="shared" si="13"/>
        <v>168153.16</v>
      </c>
      <c r="O60" s="123">
        <f>SUM(O62:O63)</f>
        <v>0</v>
      </c>
      <c r="P60" s="123">
        <f>SUM(P62:P63)</f>
        <v>509.02000000000004</v>
      </c>
      <c r="Q60" s="176">
        <f t="shared" si="1"/>
        <v>168662.18</v>
      </c>
      <c r="R60" s="122"/>
    </row>
    <row r="61" spans="1:18" ht="12.75" customHeight="1" x14ac:dyDescent="0.25">
      <c r="A61" s="43" t="s">
        <v>27</v>
      </c>
      <c r="B61" s="47"/>
      <c r="C61" s="16"/>
      <c r="D61" s="16"/>
      <c r="E61" s="82"/>
      <c r="F61" s="16"/>
      <c r="G61" s="16"/>
      <c r="H61" s="102"/>
      <c r="I61" s="102"/>
      <c r="J61" s="102"/>
      <c r="K61" s="147"/>
      <c r="L61" s="102"/>
      <c r="M61" s="103"/>
      <c r="N61" s="102"/>
      <c r="O61" s="102"/>
      <c r="P61" s="102"/>
      <c r="Q61" s="169"/>
    </row>
    <row r="62" spans="1:18" ht="15" customHeight="1" x14ac:dyDescent="0.25">
      <c r="A62" s="48" t="s">
        <v>30</v>
      </c>
      <c r="B62" s="49"/>
      <c r="C62" s="19">
        <v>61129.09</v>
      </c>
      <c r="D62" s="19">
        <f>-7964.48+419.4-2000+421.2-706.68</f>
        <v>-9830.56</v>
      </c>
      <c r="E62" s="83">
        <v>23206.32</v>
      </c>
      <c r="F62" s="19">
        <f>SUM(C62:E62)</f>
        <v>74504.850000000006</v>
      </c>
      <c r="G62" s="19">
        <f>-611.23-44.9-1052.1-194.53</f>
        <v>-1902.76</v>
      </c>
      <c r="H62" s="104">
        <f>SUM(F62:G62)-770.3</f>
        <v>71831.790000000008</v>
      </c>
      <c r="I62" s="104">
        <v>-5728.55</v>
      </c>
      <c r="J62" s="104">
        <f>21.7-837-2494.3</f>
        <v>-3309.6000000000004</v>
      </c>
      <c r="K62" s="147">
        <f>SUM(H62:J62)+277.37</f>
        <v>63071.010000000009</v>
      </c>
      <c r="L62" s="104">
        <f>5000</f>
        <v>5000</v>
      </c>
      <c r="M62" s="103">
        <f>-62</f>
        <v>-62</v>
      </c>
      <c r="N62" s="102">
        <f t="shared" si="13"/>
        <v>68009.010000000009</v>
      </c>
      <c r="O62" s="104">
        <v>0</v>
      </c>
      <c r="P62" s="104">
        <f>-1000+1516.44+6.24</f>
        <v>522.68000000000006</v>
      </c>
      <c r="Q62" s="177">
        <f t="shared" si="1"/>
        <v>68531.69</v>
      </c>
    </row>
    <row r="63" spans="1:18" ht="17.25" customHeight="1" thickBot="1" x14ac:dyDescent="0.3">
      <c r="A63" s="44" t="s">
        <v>42</v>
      </c>
      <c r="B63" s="45"/>
      <c r="C63" s="22">
        <v>93464.5</v>
      </c>
      <c r="D63" s="22">
        <f>27.59+1718.22+269</f>
        <v>2014.81</v>
      </c>
      <c r="E63" s="22">
        <v>357</v>
      </c>
      <c r="F63" s="22">
        <f>SUM(C63:E63)</f>
        <v>95836.31</v>
      </c>
      <c r="G63" s="22">
        <f>988.6+181.54</f>
        <v>1170.1400000000001</v>
      </c>
      <c r="H63" s="106">
        <f>SUM(F63:G63)-113.3</f>
        <v>96893.15</v>
      </c>
      <c r="I63" s="106">
        <v>1305</v>
      </c>
      <c r="J63" s="106">
        <f>24</f>
        <v>24</v>
      </c>
      <c r="K63" s="209">
        <f>SUM(H63:J63)-78</f>
        <v>98144.15</v>
      </c>
      <c r="L63" s="106">
        <f>2000</f>
        <v>2000</v>
      </c>
      <c r="M63" s="137">
        <v>0</v>
      </c>
      <c r="N63" s="108">
        <f t="shared" si="13"/>
        <v>100144.15</v>
      </c>
      <c r="O63" s="106">
        <v>0</v>
      </c>
      <c r="P63" s="106">
        <f>-11-2.66</f>
        <v>-13.66</v>
      </c>
      <c r="Q63" s="186">
        <f t="shared" si="1"/>
        <v>100130.48999999999</v>
      </c>
    </row>
    <row r="64" spans="1:18" ht="15.75" customHeight="1" thickBot="1" x14ac:dyDescent="0.3">
      <c r="A64" s="40" t="s">
        <v>43</v>
      </c>
      <c r="B64" s="50"/>
      <c r="C64" s="42">
        <f t="shared" ref="C64:J64" si="20">SUM(C66:C68)</f>
        <v>2282.77</v>
      </c>
      <c r="D64" s="42">
        <f t="shared" si="20"/>
        <v>0</v>
      </c>
      <c r="E64" s="88">
        <f t="shared" si="20"/>
        <v>0</v>
      </c>
      <c r="F64" s="42">
        <f t="shared" si="20"/>
        <v>2282.77</v>
      </c>
      <c r="G64" s="72">
        <f t="shared" si="20"/>
        <v>0</v>
      </c>
      <c r="H64" s="42">
        <f t="shared" si="20"/>
        <v>2282.77</v>
      </c>
      <c r="I64" s="42">
        <f t="shared" si="20"/>
        <v>0</v>
      </c>
      <c r="J64" s="42">
        <f t="shared" si="20"/>
        <v>0</v>
      </c>
      <c r="K64" s="153">
        <f t="shared" si="15"/>
        <v>2282.77</v>
      </c>
      <c r="L64" s="123">
        <f>SUM(L66:L68)</f>
        <v>0</v>
      </c>
      <c r="M64" s="124">
        <f>SUM(M66:M68)</f>
        <v>0</v>
      </c>
      <c r="N64" s="123">
        <f t="shared" si="13"/>
        <v>2282.77</v>
      </c>
      <c r="O64" s="123">
        <f>SUM(O66:O68)</f>
        <v>0</v>
      </c>
      <c r="P64" s="123">
        <f>SUM(P66:P68)</f>
        <v>0</v>
      </c>
      <c r="Q64" s="176">
        <f t="shared" si="1"/>
        <v>2282.77</v>
      </c>
      <c r="R64" s="122"/>
    </row>
    <row r="65" spans="1:18" ht="15" customHeight="1" x14ac:dyDescent="0.25">
      <c r="A65" s="52" t="s">
        <v>27</v>
      </c>
      <c r="B65" s="47"/>
      <c r="C65" s="16"/>
      <c r="D65" s="16"/>
      <c r="E65" s="82"/>
      <c r="F65" s="16"/>
      <c r="G65" s="96"/>
      <c r="H65" s="118"/>
      <c r="I65" s="118"/>
      <c r="J65" s="118"/>
      <c r="K65" s="147"/>
      <c r="L65" s="102"/>
      <c r="M65" s="103"/>
      <c r="N65" s="102"/>
      <c r="O65" s="102"/>
      <c r="P65" s="102"/>
      <c r="Q65" s="169"/>
    </row>
    <row r="66" spans="1:18" ht="26.25" customHeight="1" x14ac:dyDescent="0.25">
      <c r="A66" s="17" t="s">
        <v>44</v>
      </c>
      <c r="B66" s="53" t="s">
        <v>45</v>
      </c>
      <c r="C66" s="104">
        <v>15</v>
      </c>
      <c r="D66" s="104">
        <v>0</v>
      </c>
      <c r="E66" s="105">
        <v>0</v>
      </c>
      <c r="F66" s="104">
        <f>SUM(C66:E66)</f>
        <v>15</v>
      </c>
      <c r="G66" s="104">
        <v>0</v>
      </c>
      <c r="H66" s="104">
        <f t="shared" si="3"/>
        <v>15</v>
      </c>
      <c r="I66" s="104">
        <v>0</v>
      </c>
      <c r="J66" s="104">
        <v>0</v>
      </c>
      <c r="K66" s="147">
        <f t="shared" si="15"/>
        <v>15</v>
      </c>
      <c r="L66" s="104">
        <v>0</v>
      </c>
      <c r="M66" s="103">
        <v>0</v>
      </c>
      <c r="N66" s="102">
        <f t="shared" si="13"/>
        <v>15</v>
      </c>
      <c r="O66" s="104">
        <v>0</v>
      </c>
      <c r="P66" s="104">
        <v>0</v>
      </c>
      <c r="Q66" s="177">
        <f t="shared" si="1"/>
        <v>15</v>
      </c>
    </row>
    <row r="67" spans="1:18" ht="15" customHeight="1" x14ac:dyDescent="0.25">
      <c r="A67" s="54" t="s">
        <v>30</v>
      </c>
      <c r="B67" s="49"/>
      <c r="C67" s="104">
        <v>64.12</v>
      </c>
      <c r="D67" s="104">
        <v>0</v>
      </c>
      <c r="E67" s="105">
        <v>0</v>
      </c>
      <c r="F67" s="104">
        <f t="shared" ref="F67:F68" si="21">SUM(C67:E67)</f>
        <v>64.12</v>
      </c>
      <c r="G67" s="104">
        <v>0</v>
      </c>
      <c r="H67" s="104">
        <f t="shared" si="3"/>
        <v>64.12</v>
      </c>
      <c r="I67" s="104">
        <v>0</v>
      </c>
      <c r="J67" s="104">
        <v>0</v>
      </c>
      <c r="K67" s="147">
        <f t="shared" si="15"/>
        <v>64.12</v>
      </c>
      <c r="L67" s="104">
        <v>0</v>
      </c>
      <c r="M67" s="103">
        <v>0</v>
      </c>
      <c r="N67" s="102">
        <f t="shared" si="13"/>
        <v>64.12</v>
      </c>
      <c r="O67" s="104">
        <v>0</v>
      </c>
      <c r="P67" s="104">
        <v>0</v>
      </c>
      <c r="Q67" s="177">
        <f t="shared" si="1"/>
        <v>64.12</v>
      </c>
    </row>
    <row r="68" spans="1:18" ht="17.25" customHeight="1" thickBot="1" x14ac:dyDescent="0.3">
      <c r="A68" s="55" t="s">
        <v>46</v>
      </c>
      <c r="B68" s="45"/>
      <c r="C68" s="106">
        <v>2203.65</v>
      </c>
      <c r="D68" s="106">
        <v>0</v>
      </c>
      <c r="E68" s="107">
        <v>0</v>
      </c>
      <c r="F68" s="106">
        <f t="shared" si="21"/>
        <v>2203.65</v>
      </c>
      <c r="G68" s="106">
        <v>0</v>
      </c>
      <c r="H68" s="106">
        <f t="shared" si="3"/>
        <v>2203.65</v>
      </c>
      <c r="I68" s="106">
        <v>0</v>
      </c>
      <c r="J68" s="106">
        <v>0</v>
      </c>
      <c r="K68" s="209">
        <f t="shared" si="15"/>
        <v>2203.65</v>
      </c>
      <c r="L68" s="106">
        <v>0</v>
      </c>
      <c r="M68" s="137">
        <v>0</v>
      </c>
      <c r="N68" s="108">
        <f t="shared" si="13"/>
        <v>2203.65</v>
      </c>
      <c r="O68" s="106">
        <v>0</v>
      </c>
      <c r="P68" s="106">
        <v>0</v>
      </c>
      <c r="Q68" s="186">
        <f t="shared" si="1"/>
        <v>2203.65</v>
      </c>
    </row>
    <row r="69" spans="1:18" ht="14.25" customHeight="1" thickBot="1" x14ac:dyDescent="0.3">
      <c r="A69" s="56" t="s">
        <v>47</v>
      </c>
      <c r="B69" s="50"/>
      <c r="C69" s="42">
        <f t="shared" ref="C69:M69" si="22">SUM(C71:C178)</f>
        <v>314663.33999999997</v>
      </c>
      <c r="D69" s="42">
        <f t="shared" si="22"/>
        <v>591.24000000000024</v>
      </c>
      <c r="E69" s="88">
        <f t="shared" si="22"/>
        <v>3748.33</v>
      </c>
      <c r="F69" s="42">
        <f t="shared" si="22"/>
        <v>292471.91000000003</v>
      </c>
      <c r="G69" s="42">
        <f t="shared" si="22"/>
        <v>232</v>
      </c>
      <c r="H69" s="42">
        <f t="shared" si="22"/>
        <v>321423.91000000003</v>
      </c>
      <c r="I69" s="42">
        <f t="shared" si="22"/>
        <v>2643.97</v>
      </c>
      <c r="J69" s="42">
        <f t="shared" si="22"/>
        <v>-4864.26</v>
      </c>
      <c r="K69" s="153">
        <f t="shared" si="22"/>
        <v>319429.62000000005</v>
      </c>
      <c r="L69" s="123">
        <f t="shared" si="22"/>
        <v>360.00000000000023</v>
      </c>
      <c r="M69" s="124">
        <f t="shared" si="22"/>
        <v>-524.76999999999987</v>
      </c>
      <c r="N69" s="123">
        <f t="shared" si="13"/>
        <v>319264.85000000003</v>
      </c>
      <c r="O69" s="123">
        <f>SUM(O71:O178)</f>
        <v>0</v>
      </c>
      <c r="P69" s="123">
        <f>SUM(P71:P178)</f>
        <v>333.24</v>
      </c>
      <c r="Q69" s="176">
        <f t="shared" si="1"/>
        <v>319598.09000000003</v>
      </c>
      <c r="R69" s="122"/>
    </row>
    <row r="70" spans="1:18" ht="12.75" customHeight="1" x14ac:dyDescent="0.25">
      <c r="A70" s="57" t="s">
        <v>27</v>
      </c>
      <c r="B70" s="47"/>
      <c r="C70" s="16"/>
      <c r="D70" s="16"/>
      <c r="E70" s="82"/>
      <c r="F70" s="16"/>
      <c r="G70" s="16"/>
      <c r="H70" s="102"/>
      <c r="I70" s="102"/>
      <c r="J70" s="102"/>
      <c r="K70" s="147"/>
      <c r="L70" s="102"/>
      <c r="M70" s="103"/>
      <c r="N70" s="102"/>
      <c r="O70" s="102"/>
      <c r="P70" s="102"/>
      <c r="Q70" s="169"/>
    </row>
    <row r="71" spans="1:18" ht="15" customHeight="1" x14ac:dyDescent="0.25">
      <c r="A71" s="54" t="s">
        <v>30</v>
      </c>
      <c r="B71" s="53"/>
      <c r="C71" s="104">
        <v>5300</v>
      </c>
      <c r="D71" s="104">
        <f>-140</f>
        <v>-140</v>
      </c>
      <c r="E71" s="105">
        <v>1850</v>
      </c>
      <c r="F71" s="104">
        <f>SUM(C71:E71)</f>
        <v>7010</v>
      </c>
      <c r="G71" s="104">
        <f>100+5</f>
        <v>105</v>
      </c>
      <c r="H71" s="104">
        <f>SUM(F71:G71)+360</f>
        <v>7475</v>
      </c>
      <c r="I71" s="104">
        <v>-380</v>
      </c>
      <c r="J71" s="104">
        <f>-100</f>
        <v>-100</v>
      </c>
      <c r="K71" s="147">
        <f t="shared" si="15"/>
        <v>6995</v>
      </c>
      <c r="L71" s="104">
        <v>0</v>
      </c>
      <c r="M71" s="103">
        <v>0</v>
      </c>
      <c r="N71" s="102">
        <f t="shared" si="13"/>
        <v>6995</v>
      </c>
      <c r="O71" s="104">
        <v>0</v>
      </c>
      <c r="P71" s="104">
        <f>-125</f>
        <v>-125</v>
      </c>
      <c r="Q71" s="177">
        <f t="shared" ref="Q71:Q138" si="23">SUM(N71:P71)</f>
        <v>6870</v>
      </c>
    </row>
    <row r="72" spans="1:18" ht="28.5" customHeight="1" x14ac:dyDescent="0.25">
      <c r="A72" s="17" t="s">
        <v>312</v>
      </c>
      <c r="B72" s="53" t="s">
        <v>313</v>
      </c>
      <c r="C72" s="104">
        <v>0</v>
      </c>
      <c r="D72" s="104"/>
      <c r="E72" s="105"/>
      <c r="F72" s="104">
        <v>0</v>
      </c>
      <c r="G72" s="104">
        <f>100</f>
        <v>100</v>
      </c>
      <c r="H72" s="104">
        <f>SUM(F72:G72)</f>
        <v>100</v>
      </c>
      <c r="I72" s="104">
        <v>0</v>
      </c>
      <c r="J72" s="104">
        <v>0</v>
      </c>
      <c r="K72" s="147">
        <f t="shared" si="15"/>
        <v>100</v>
      </c>
      <c r="L72" s="104">
        <v>0</v>
      </c>
      <c r="M72" s="103">
        <v>0</v>
      </c>
      <c r="N72" s="102">
        <f t="shared" si="13"/>
        <v>100</v>
      </c>
      <c r="O72" s="104">
        <v>0</v>
      </c>
      <c r="P72" s="104">
        <v>0</v>
      </c>
      <c r="Q72" s="177">
        <f t="shared" si="23"/>
        <v>100</v>
      </c>
    </row>
    <row r="73" spans="1:18" ht="27.75" customHeight="1" x14ac:dyDescent="0.25">
      <c r="A73" s="17" t="s">
        <v>48</v>
      </c>
      <c r="B73" s="53" t="s">
        <v>49</v>
      </c>
      <c r="C73" s="104">
        <v>7400</v>
      </c>
      <c r="D73" s="104">
        <v>0</v>
      </c>
      <c r="E73" s="136">
        <v>0</v>
      </c>
      <c r="F73" s="104">
        <f t="shared" ref="F73:F172" si="24">SUM(C73:E73)</f>
        <v>7400</v>
      </c>
      <c r="G73" s="104">
        <v>0</v>
      </c>
      <c r="H73" s="104">
        <f t="shared" si="3"/>
        <v>7400</v>
      </c>
      <c r="I73" s="104">
        <v>0</v>
      </c>
      <c r="J73" s="104">
        <v>0</v>
      </c>
      <c r="K73" s="147">
        <f t="shared" si="15"/>
        <v>7400</v>
      </c>
      <c r="L73" s="104">
        <v>0</v>
      </c>
      <c r="M73" s="103">
        <v>0</v>
      </c>
      <c r="N73" s="102">
        <f t="shared" si="13"/>
        <v>7400</v>
      </c>
      <c r="O73" s="104">
        <v>0</v>
      </c>
      <c r="P73" s="104">
        <v>0</v>
      </c>
      <c r="Q73" s="177">
        <f t="shared" si="23"/>
        <v>7400</v>
      </c>
    </row>
    <row r="74" spans="1:18" ht="15" customHeight="1" x14ac:dyDescent="0.25">
      <c r="A74" s="17" t="s">
        <v>50</v>
      </c>
      <c r="B74" s="53" t="s">
        <v>51</v>
      </c>
      <c r="C74" s="104">
        <v>3500</v>
      </c>
      <c r="D74" s="104">
        <v>0</v>
      </c>
      <c r="E74" s="136">
        <v>-320</v>
      </c>
      <c r="F74" s="104">
        <f t="shared" si="24"/>
        <v>3180</v>
      </c>
      <c r="G74" s="104">
        <v>0</v>
      </c>
      <c r="H74" s="104">
        <f t="shared" si="3"/>
        <v>3180</v>
      </c>
      <c r="I74" s="104">
        <v>0</v>
      </c>
      <c r="J74" s="104">
        <v>0</v>
      </c>
      <c r="K74" s="147">
        <f t="shared" si="15"/>
        <v>3180</v>
      </c>
      <c r="L74" s="104">
        <v>0</v>
      </c>
      <c r="M74" s="103">
        <v>0</v>
      </c>
      <c r="N74" s="102">
        <f t="shared" si="13"/>
        <v>3180</v>
      </c>
      <c r="O74" s="104">
        <v>0</v>
      </c>
      <c r="P74" s="104">
        <v>0</v>
      </c>
      <c r="Q74" s="177">
        <f t="shared" si="23"/>
        <v>3180</v>
      </c>
    </row>
    <row r="75" spans="1:18" ht="25.5" x14ac:dyDescent="0.25">
      <c r="A75" s="17" t="s">
        <v>52</v>
      </c>
      <c r="B75" s="53" t="s">
        <v>53</v>
      </c>
      <c r="C75" s="104">
        <v>900</v>
      </c>
      <c r="D75" s="104">
        <v>0</v>
      </c>
      <c r="E75" s="105">
        <v>0</v>
      </c>
      <c r="F75" s="104">
        <f t="shared" si="24"/>
        <v>900</v>
      </c>
      <c r="G75" s="104">
        <v>0</v>
      </c>
      <c r="H75" s="104">
        <f t="shared" si="3"/>
        <v>900</v>
      </c>
      <c r="I75" s="104">
        <v>0</v>
      </c>
      <c r="J75" s="104">
        <v>0</v>
      </c>
      <c r="K75" s="147">
        <f t="shared" si="15"/>
        <v>900</v>
      </c>
      <c r="L75" s="104">
        <v>0</v>
      </c>
      <c r="M75" s="103">
        <v>0</v>
      </c>
      <c r="N75" s="102">
        <f t="shared" si="13"/>
        <v>900</v>
      </c>
      <c r="O75" s="104">
        <v>0</v>
      </c>
      <c r="P75" s="104">
        <v>0</v>
      </c>
      <c r="Q75" s="177">
        <f t="shared" si="23"/>
        <v>900</v>
      </c>
    </row>
    <row r="76" spans="1:18" ht="15" customHeight="1" x14ac:dyDescent="0.25">
      <c r="A76" s="54" t="s">
        <v>54</v>
      </c>
      <c r="B76" s="49" t="s">
        <v>55</v>
      </c>
      <c r="C76" s="109">
        <v>42922</v>
      </c>
      <c r="D76" s="109">
        <v>0</v>
      </c>
      <c r="E76" s="105">
        <v>0</v>
      </c>
      <c r="F76" s="104">
        <f t="shared" si="24"/>
        <v>42922</v>
      </c>
      <c r="G76" s="104">
        <v>0</v>
      </c>
      <c r="H76" s="104">
        <f t="shared" si="3"/>
        <v>42922</v>
      </c>
      <c r="I76" s="104">
        <v>3473.97</v>
      </c>
      <c r="J76" s="104">
        <v>0</v>
      </c>
      <c r="K76" s="147">
        <f t="shared" si="15"/>
        <v>46395.97</v>
      </c>
      <c r="L76" s="104">
        <v>0</v>
      </c>
      <c r="M76" s="103">
        <v>0</v>
      </c>
      <c r="N76" s="102">
        <f t="shared" si="13"/>
        <v>46395.97</v>
      </c>
      <c r="O76" s="104">
        <v>0</v>
      </c>
      <c r="P76" s="104">
        <v>0</v>
      </c>
      <c r="Q76" s="177">
        <f t="shared" si="23"/>
        <v>46395.97</v>
      </c>
    </row>
    <row r="77" spans="1:18" ht="15" customHeight="1" x14ac:dyDescent="0.25">
      <c r="A77" s="54" t="s">
        <v>56</v>
      </c>
      <c r="B77" s="53" t="s">
        <v>36</v>
      </c>
      <c r="C77" s="109">
        <v>3692</v>
      </c>
      <c r="D77" s="109">
        <v>0</v>
      </c>
      <c r="E77" s="105">
        <v>95</v>
      </c>
      <c r="F77" s="104">
        <f t="shared" si="24"/>
        <v>3787</v>
      </c>
      <c r="G77" s="104">
        <v>0</v>
      </c>
      <c r="H77" s="104">
        <f t="shared" si="3"/>
        <v>3787</v>
      </c>
      <c r="I77" s="104">
        <v>0</v>
      </c>
      <c r="J77" s="104">
        <v>0</v>
      </c>
      <c r="K77" s="147">
        <f t="shared" si="15"/>
        <v>3787</v>
      </c>
      <c r="L77" s="104">
        <v>0</v>
      </c>
      <c r="M77" s="103">
        <v>0</v>
      </c>
      <c r="N77" s="102">
        <f t="shared" si="13"/>
        <v>3787</v>
      </c>
      <c r="O77" s="104">
        <v>0</v>
      </c>
      <c r="P77" s="104">
        <v>0</v>
      </c>
      <c r="Q77" s="177">
        <f t="shared" si="23"/>
        <v>3787</v>
      </c>
    </row>
    <row r="78" spans="1:18" ht="15" customHeight="1" x14ac:dyDescent="0.25">
      <c r="A78" s="54" t="s">
        <v>304</v>
      </c>
      <c r="B78" s="53" t="s">
        <v>298</v>
      </c>
      <c r="C78" s="109">
        <v>0</v>
      </c>
      <c r="D78" s="109">
        <f>38.94</f>
        <v>38.94</v>
      </c>
      <c r="E78" s="105">
        <v>0</v>
      </c>
      <c r="F78" s="104">
        <f>SUM(C78:E78)</f>
        <v>38.94</v>
      </c>
      <c r="G78" s="104">
        <v>0</v>
      </c>
      <c r="H78" s="104">
        <f t="shared" si="3"/>
        <v>38.94</v>
      </c>
      <c r="I78" s="104">
        <v>0</v>
      </c>
      <c r="J78" s="104">
        <f>-23.45</f>
        <v>-23.45</v>
      </c>
      <c r="K78" s="147">
        <f t="shared" si="15"/>
        <v>15.489999999999998</v>
      </c>
      <c r="L78" s="104">
        <v>0</v>
      </c>
      <c r="M78" s="103">
        <v>0</v>
      </c>
      <c r="N78" s="102">
        <f>SUM(K78:M78)</f>
        <v>15.489999999999998</v>
      </c>
      <c r="O78" s="104">
        <v>0</v>
      </c>
      <c r="P78" s="104">
        <v>0</v>
      </c>
      <c r="Q78" s="177">
        <f t="shared" si="23"/>
        <v>15.489999999999998</v>
      </c>
    </row>
    <row r="79" spans="1:18" ht="15" customHeight="1" x14ac:dyDescent="0.25">
      <c r="A79" s="54" t="s">
        <v>304</v>
      </c>
      <c r="B79" s="53" t="s">
        <v>359</v>
      </c>
      <c r="C79" s="109">
        <v>0</v>
      </c>
      <c r="D79" s="109"/>
      <c r="E79" s="105"/>
      <c r="F79" s="104"/>
      <c r="G79" s="104"/>
      <c r="H79" s="104"/>
      <c r="I79" s="104"/>
      <c r="J79" s="104"/>
      <c r="K79" s="147">
        <v>0</v>
      </c>
      <c r="L79" s="104">
        <v>0</v>
      </c>
      <c r="M79" s="103">
        <f>86.63</f>
        <v>86.63</v>
      </c>
      <c r="N79" s="102">
        <f>SUM(K79:M79)</f>
        <v>86.63</v>
      </c>
      <c r="O79" s="104">
        <v>0</v>
      </c>
      <c r="P79" s="104">
        <v>0</v>
      </c>
      <c r="Q79" s="177">
        <f t="shared" si="23"/>
        <v>86.63</v>
      </c>
    </row>
    <row r="80" spans="1:18" ht="15" customHeight="1" x14ac:dyDescent="0.25">
      <c r="A80" s="54" t="s">
        <v>305</v>
      </c>
      <c r="B80" s="53" t="s">
        <v>298</v>
      </c>
      <c r="C80" s="109">
        <v>0</v>
      </c>
      <c r="D80" s="109">
        <f>4.33</f>
        <v>4.33</v>
      </c>
      <c r="E80" s="105">
        <v>0</v>
      </c>
      <c r="F80" s="104">
        <f>SUM(C80:E80)</f>
        <v>4.33</v>
      </c>
      <c r="G80" s="104">
        <v>0</v>
      </c>
      <c r="H80" s="104">
        <f t="shared" si="3"/>
        <v>4.33</v>
      </c>
      <c r="I80" s="104">
        <v>0</v>
      </c>
      <c r="J80" s="104">
        <f>-2.6</f>
        <v>-2.6</v>
      </c>
      <c r="K80" s="147">
        <f t="shared" si="15"/>
        <v>1.73</v>
      </c>
      <c r="L80" s="104">
        <v>0</v>
      </c>
      <c r="M80" s="103">
        <v>0</v>
      </c>
      <c r="N80" s="102">
        <f t="shared" si="13"/>
        <v>1.73</v>
      </c>
      <c r="O80" s="104">
        <v>0</v>
      </c>
      <c r="P80" s="104">
        <v>0</v>
      </c>
      <c r="Q80" s="177">
        <f t="shared" si="23"/>
        <v>1.73</v>
      </c>
    </row>
    <row r="81" spans="1:17" ht="15" customHeight="1" x14ac:dyDescent="0.25">
      <c r="A81" s="54" t="s">
        <v>305</v>
      </c>
      <c r="B81" s="53" t="s">
        <v>359</v>
      </c>
      <c r="C81" s="109">
        <v>0</v>
      </c>
      <c r="D81" s="109"/>
      <c r="E81" s="105"/>
      <c r="F81" s="104"/>
      <c r="G81" s="104"/>
      <c r="H81" s="104"/>
      <c r="I81" s="104"/>
      <c r="J81" s="104"/>
      <c r="K81" s="147">
        <v>0</v>
      </c>
      <c r="L81" s="104">
        <v>0</v>
      </c>
      <c r="M81" s="103">
        <f>9.63</f>
        <v>9.6300000000000008</v>
      </c>
      <c r="N81" s="102">
        <f>SUM(K81:M81)</f>
        <v>9.6300000000000008</v>
      </c>
      <c r="O81" s="104">
        <v>0</v>
      </c>
      <c r="P81" s="104">
        <v>0</v>
      </c>
      <c r="Q81" s="177">
        <f t="shared" si="23"/>
        <v>9.6300000000000008</v>
      </c>
    </row>
    <row r="82" spans="1:17" ht="15" customHeight="1" x14ac:dyDescent="0.25">
      <c r="A82" s="54" t="s">
        <v>57</v>
      </c>
      <c r="B82" s="53" t="s">
        <v>36</v>
      </c>
      <c r="C82" s="109">
        <v>4544</v>
      </c>
      <c r="D82" s="109">
        <v>0</v>
      </c>
      <c r="E82" s="105">
        <v>110</v>
      </c>
      <c r="F82" s="104">
        <f t="shared" si="24"/>
        <v>4654</v>
      </c>
      <c r="G82" s="104">
        <v>0</v>
      </c>
      <c r="H82" s="104">
        <f t="shared" si="3"/>
        <v>4654</v>
      </c>
      <c r="I82" s="104">
        <v>0</v>
      </c>
      <c r="J82" s="104">
        <v>0</v>
      </c>
      <c r="K82" s="147">
        <f t="shared" si="15"/>
        <v>4654</v>
      </c>
      <c r="L82" s="104">
        <v>0</v>
      </c>
      <c r="M82" s="103">
        <v>0</v>
      </c>
      <c r="N82" s="102">
        <f t="shared" si="13"/>
        <v>4654</v>
      </c>
      <c r="O82" s="104">
        <v>0</v>
      </c>
      <c r="P82" s="104">
        <v>0</v>
      </c>
      <c r="Q82" s="177">
        <f t="shared" si="23"/>
        <v>4654</v>
      </c>
    </row>
    <row r="83" spans="1:17" ht="15" customHeight="1" x14ac:dyDescent="0.25">
      <c r="A83" s="54" t="s">
        <v>300</v>
      </c>
      <c r="B83" s="53" t="s">
        <v>298</v>
      </c>
      <c r="C83" s="109">
        <v>0</v>
      </c>
      <c r="D83" s="109">
        <f>63.04</f>
        <v>63.04</v>
      </c>
      <c r="E83" s="105">
        <v>0</v>
      </c>
      <c r="F83" s="104">
        <f>SUM(C83:E83)</f>
        <v>63.04</v>
      </c>
      <c r="G83" s="104">
        <v>0</v>
      </c>
      <c r="H83" s="104">
        <f t="shared" si="3"/>
        <v>63.04</v>
      </c>
      <c r="I83" s="104">
        <v>0</v>
      </c>
      <c r="J83" s="104">
        <f>-54.6</f>
        <v>-54.6</v>
      </c>
      <c r="K83" s="147">
        <f t="shared" si="15"/>
        <v>8.4399999999999977</v>
      </c>
      <c r="L83" s="104">
        <v>0</v>
      </c>
      <c r="M83" s="103">
        <v>0</v>
      </c>
      <c r="N83" s="102">
        <f t="shared" si="13"/>
        <v>8.4399999999999977</v>
      </c>
      <c r="O83" s="104">
        <v>0</v>
      </c>
      <c r="P83" s="104">
        <v>0</v>
      </c>
      <c r="Q83" s="177">
        <f t="shared" si="23"/>
        <v>8.4399999999999977</v>
      </c>
    </row>
    <row r="84" spans="1:17" ht="15" customHeight="1" x14ac:dyDescent="0.25">
      <c r="A84" s="54" t="s">
        <v>300</v>
      </c>
      <c r="B84" s="53" t="s">
        <v>359</v>
      </c>
      <c r="C84" s="109">
        <v>0</v>
      </c>
      <c r="D84" s="109"/>
      <c r="E84" s="105"/>
      <c r="F84" s="104"/>
      <c r="G84" s="104"/>
      <c r="H84" s="104"/>
      <c r="I84" s="104"/>
      <c r="J84" s="104"/>
      <c r="K84" s="147">
        <v>0</v>
      </c>
      <c r="L84" s="104">
        <v>0</v>
      </c>
      <c r="M84" s="103">
        <f>86.63</f>
        <v>86.63</v>
      </c>
      <c r="N84" s="102">
        <f>SUM(K84:M84)</f>
        <v>86.63</v>
      </c>
      <c r="O84" s="104">
        <v>0</v>
      </c>
      <c r="P84" s="104">
        <v>0</v>
      </c>
      <c r="Q84" s="177">
        <f t="shared" si="23"/>
        <v>86.63</v>
      </c>
    </row>
    <row r="85" spans="1:17" ht="15" customHeight="1" x14ac:dyDescent="0.25">
      <c r="A85" s="54" t="s">
        <v>301</v>
      </c>
      <c r="B85" s="53" t="s">
        <v>298</v>
      </c>
      <c r="C85" s="109">
        <v>0</v>
      </c>
      <c r="D85" s="109">
        <f>7.01</f>
        <v>7.01</v>
      </c>
      <c r="E85" s="105">
        <v>0</v>
      </c>
      <c r="F85" s="104">
        <f>SUM(C85:E85)</f>
        <v>7.01</v>
      </c>
      <c r="G85" s="104">
        <v>0</v>
      </c>
      <c r="H85" s="104">
        <f t="shared" si="3"/>
        <v>7.01</v>
      </c>
      <c r="I85" s="104">
        <v>0</v>
      </c>
      <c r="J85" s="104">
        <f>-6.06</f>
        <v>-6.06</v>
      </c>
      <c r="K85" s="115">
        <f t="shared" si="15"/>
        <v>0.95000000000000018</v>
      </c>
      <c r="L85" s="104">
        <v>0</v>
      </c>
      <c r="M85" s="105">
        <v>0</v>
      </c>
      <c r="N85" s="104">
        <f t="shared" si="13"/>
        <v>0.95000000000000018</v>
      </c>
      <c r="O85" s="104">
        <v>0</v>
      </c>
      <c r="P85" s="104">
        <v>0</v>
      </c>
      <c r="Q85" s="177">
        <f t="shared" si="23"/>
        <v>0.95000000000000018</v>
      </c>
    </row>
    <row r="86" spans="1:17" ht="15" customHeight="1" x14ac:dyDescent="0.25">
      <c r="A86" s="54" t="s">
        <v>301</v>
      </c>
      <c r="B86" s="53" t="s">
        <v>359</v>
      </c>
      <c r="C86" s="109">
        <v>0</v>
      </c>
      <c r="D86" s="109"/>
      <c r="E86" s="105"/>
      <c r="F86" s="104"/>
      <c r="G86" s="104"/>
      <c r="H86" s="104"/>
      <c r="I86" s="104"/>
      <c r="J86" s="104"/>
      <c r="K86" s="147">
        <v>0</v>
      </c>
      <c r="L86" s="104">
        <v>0</v>
      </c>
      <c r="M86" s="103">
        <f>9.63</f>
        <v>9.6300000000000008</v>
      </c>
      <c r="N86" s="102">
        <f>SUM(K86:M86)</f>
        <v>9.6300000000000008</v>
      </c>
      <c r="O86" s="104">
        <v>0</v>
      </c>
      <c r="P86" s="104">
        <v>0</v>
      </c>
      <c r="Q86" s="177">
        <f t="shared" si="23"/>
        <v>9.6300000000000008</v>
      </c>
    </row>
    <row r="87" spans="1:17" ht="15.75" customHeight="1" x14ac:dyDescent="0.25">
      <c r="A87" s="17" t="s">
        <v>58</v>
      </c>
      <c r="B87" s="53" t="s">
        <v>36</v>
      </c>
      <c r="C87" s="109">
        <v>1725</v>
      </c>
      <c r="D87" s="109">
        <v>0</v>
      </c>
      <c r="E87" s="105">
        <v>50</v>
      </c>
      <c r="F87" s="104">
        <f t="shared" si="24"/>
        <v>1775</v>
      </c>
      <c r="G87" s="104">
        <v>0</v>
      </c>
      <c r="H87" s="104">
        <f t="shared" si="3"/>
        <v>1775</v>
      </c>
      <c r="I87" s="104">
        <v>0</v>
      </c>
      <c r="J87" s="104">
        <v>0</v>
      </c>
      <c r="K87" s="147">
        <f t="shared" si="15"/>
        <v>1775</v>
      </c>
      <c r="L87" s="104">
        <v>0</v>
      </c>
      <c r="M87" s="103">
        <v>0</v>
      </c>
      <c r="N87" s="102">
        <f t="shared" si="13"/>
        <v>1775</v>
      </c>
      <c r="O87" s="104">
        <v>0</v>
      </c>
      <c r="P87" s="104">
        <v>0</v>
      </c>
      <c r="Q87" s="177">
        <f t="shared" si="23"/>
        <v>1775</v>
      </c>
    </row>
    <row r="88" spans="1:17" ht="15" customHeight="1" x14ac:dyDescent="0.25">
      <c r="A88" s="17" t="s">
        <v>59</v>
      </c>
      <c r="B88" s="53" t="s">
        <v>36</v>
      </c>
      <c r="C88" s="109">
        <v>4652</v>
      </c>
      <c r="D88" s="109">
        <v>0</v>
      </c>
      <c r="E88" s="105">
        <v>401</v>
      </c>
      <c r="F88" s="104">
        <f t="shared" si="24"/>
        <v>5053</v>
      </c>
      <c r="G88" s="104">
        <v>0</v>
      </c>
      <c r="H88" s="104">
        <f t="shared" si="3"/>
        <v>5053</v>
      </c>
      <c r="I88" s="104">
        <v>0</v>
      </c>
      <c r="J88" s="104">
        <v>0</v>
      </c>
      <c r="K88" s="147">
        <f t="shared" si="15"/>
        <v>5053</v>
      </c>
      <c r="L88" s="104">
        <v>0</v>
      </c>
      <c r="M88" s="103">
        <v>0</v>
      </c>
      <c r="N88" s="102">
        <f t="shared" si="13"/>
        <v>5053</v>
      </c>
      <c r="O88" s="104">
        <v>0</v>
      </c>
      <c r="P88" s="104">
        <v>0</v>
      </c>
      <c r="Q88" s="177">
        <f t="shared" si="23"/>
        <v>5053</v>
      </c>
    </row>
    <row r="89" spans="1:17" ht="15" customHeight="1" x14ac:dyDescent="0.25">
      <c r="A89" s="17" t="s">
        <v>306</v>
      </c>
      <c r="B89" s="53" t="s">
        <v>298</v>
      </c>
      <c r="C89" s="109">
        <v>0</v>
      </c>
      <c r="D89" s="109">
        <f>85.29</f>
        <v>85.29</v>
      </c>
      <c r="E89" s="105">
        <v>0</v>
      </c>
      <c r="F89" s="104">
        <f>SUM(C89:E89)</f>
        <v>85.29</v>
      </c>
      <c r="G89" s="104">
        <v>0</v>
      </c>
      <c r="H89" s="104">
        <f t="shared" ref="H89:H169" si="25">SUM(F89:G89)</f>
        <v>85.29</v>
      </c>
      <c r="I89" s="104">
        <v>0</v>
      </c>
      <c r="J89" s="104">
        <f>-55.49</f>
        <v>-55.49</v>
      </c>
      <c r="K89" s="147">
        <f t="shared" si="15"/>
        <v>29.800000000000004</v>
      </c>
      <c r="L89" s="104">
        <v>0</v>
      </c>
      <c r="M89" s="103">
        <v>0</v>
      </c>
      <c r="N89" s="102">
        <f t="shared" si="13"/>
        <v>29.800000000000004</v>
      </c>
      <c r="O89" s="104">
        <v>0</v>
      </c>
      <c r="P89" s="104">
        <v>0</v>
      </c>
      <c r="Q89" s="177">
        <f t="shared" si="23"/>
        <v>29.800000000000004</v>
      </c>
    </row>
    <row r="90" spans="1:17" ht="15" customHeight="1" x14ac:dyDescent="0.25">
      <c r="A90" s="17" t="s">
        <v>306</v>
      </c>
      <c r="B90" s="53" t="s">
        <v>383</v>
      </c>
      <c r="C90" s="109">
        <v>0</v>
      </c>
      <c r="D90" s="109"/>
      <c r="E90" s="105"/>
      <c r="F90" s="104"/>
      <c r="G90" s="104"/>
      <c r="H90" s="104"/>
      <c r="I90" s="104"/>
      <c r="J90" s="104"/>
      <c r="K90" s="147"/>
      <c r="L90" s="104"/>
      <c r="M90" s="103"/>
      <c r="N90" s="102">
        <v>0</v>
      </c>
      <c r="O90" s="104">
        <v>0</v>
      </c>
      <c r="P90" s="104">
        <f>172.98</f>
        <v>172.98</v>
      </c>
      <c r="Q90" s="177">
        <f>SUM(N90:P90)</f>
        <v>172.98</v>
      </c>
    </row>
    <row r="91" spans="1:17" ht="15" customHeight="1" x14ac:dyDescent="0.25">
      <c r="A91" s="17" t="s">
        <v>307</v>
      </c>
      <c r="B91" s="53" t="s">
        <v>298</v>
      </c>
      <c r="C91" s="109">
        <v>0</v>
      </c>
      <c r="D91" s="109">
        <f>9.48</f>
        <v>9.48</v>
      </c>
      <c r="E91" s="105">
        <v>0</v>
      </c>
      <c r="F91" s="104">
        <f>SUM(C91:E91)</f>
        <v>9.48</v>
      </c>
      <c r="G91" s="104">
        <v>0</v>
      </c>
      <c r="H91" s="104">
        <f>SUM(F91:G91)</f>
        <v>9.48</v>
      </c>
      <c r="I91" s="104">
        <v>0</v>
      </c>
      <c r="J91" s="104">
        <f>-6.16</f>
        <v>-6.16</v>
      </c>
      <c r="K91" s="147">
        <f>SUM(H91:J91)</f>
        <v>3.3200000000000003</v>
      </c>
      <c r="L91" s="104">
        <v>0</v>
      </c>
      <c r="M91" s="103">
        <v>0</v>
      </c>
      <c r="N91" s="102">
        <f>SUM(K91:M91)</f>
        <v>3.3200000000000003</v>
      </c>
      <c r="O91" s="104">
        <v>0</v>
      </c>
      <c r="P91" s="104">
        <v>0</v>
      </c>
      <c r="Q91" s="177">
        <f>SUM(N91:P91)</f>
        <v>3.3200000000000003</v>
      </c>
    </row>
    <row r="92" spans="1:17" ht="15" customHeight="1" x14ac:dyDescent="0.25">
      <c r="A92" s="17" t="s">
        <v>307</v>
      </c>
      <c r="B92" s="53" t="s">
        <v>383</v>
      </c>
      <c r="C92" s="109">
        <v>0</v>
      </c>
      <c r="D92" s="109"/>
      <c r="E92" s="105"/>
      <c r="F92" s="104"/>
      <c r="G92" s="104"/>
      <c r="H92" s="104"/>
      <c r="I92" s="104"/>
      <c r="J92" s="104"/>
      <c r="K92" s="147"/>
      <c r="L92" s="104"/>
      <c r="M92" s="103"/>
      <c r="N92" s="102">
        <v>0</v>
      </c>
      <c r="O92" s="104">
        <v>0</v>
      </c>
      <c r="P92" s="104">
        <f>19.22</f>
        <v>19.22</v>
      </c>
      <c r="Q92" s="177">
        <f>SUM(N92:P92)</f>
        <v>19.22</v>
      </c>
    </row>
    <row r="93" spans="1:17" ht="15" customHeight="1" x14ac:dyDescent="0.25">
      <c r="A93" s="54" t="s">
        <v>60</v>
      </c>
      <c r="B93" s="53" t="s">
        <v>36</v>
      </c>
      <c r="C93" s="109">
        <v>4512</v>
      </c>
      <c r="D93" s="109">
        <v>0</v>
      </c>
      <c r="E93" s="105">
        <v>461</v>
      </c>
      <c r="F93" s="104">
        <f t="shared" si="24"/>
        <v>4973</v>
      </c>
      <c r="G93" s="104">
        <v>0</v>
      </c>
      <c r="H93" s="104">
        <f>SUM(F93:G93)</f>
        <v>4973</v>
      </c>
      <c r="I93" s="104">
        <v>0</v>
      </c>
      <c r="J93" s="104">
        <v>0</v>
      </c>
      <c r="K93" s="147">
        <f t="shared" si="15"/>
        <v>4973</v>
      </c>
      <c r="L93" s="104">
        <v>0</v>
      </c>
      <c r="M93" s="103">
        <v>0</v>
      </c>
      <c r="N93" s="102">
        <f t="shared" si="13"/>
        <v>4973</v>
      </c>
      <c r="O93" s="104">
        <v>0</v>
      </c>
      <c r="P93" s="104">
        <v>0</v>
      </c>
      <c r="Q93" s="177">
        <f t="shared" si="23"/>
        <v>4973</v>
      </c>
    </row>
    <row r="94" spans="1:17" ht="15" customHeight="1" x14ac:dyDescent="0.25">
      <c r="A94" s="54" t="s">
        <v>297</v>
      </c>
      <c r="B94" s="53" t="s">
        <v>298</v>
      </c>
      <c r="C94" s="109">
        <v>0</v>
      </c>
      <c r="D94" s="109">
        <f>83.43</f>
        <v>83.43</v>
      </c>
      <c r="E94" s="105">
        <v>0</v>
      </c>
      <c r="F94" s="104">
        <f>SUM(C94:E94)</f>
        <v>83.43</v>
      </c>
      <c r="G94" s="104">
        <v>0</v>
      </c>
      <c r="H94" s="104">
        <f t="shared" si="25"/>
        <v>83.43</v>
      </c>
      <c r="I94" s="104">
        <v>0</v>
      </c>
      <c r="J94" s="104">
        <f>-69.36</f>
        <v>-69.36</v>
      </c>
      <c r="K94" s="147">
        <f>SUM(H94:J94)</f>
        <v>14.070000000000007</v>
      </c>
      <c r="L94" s="104">
        <v>0</v>
      </c>
      <c r="M94" s="103">
        <f>-0.25</f>
        <v>-0.25</v>
      </c>
      <c r="N94" s="102">
        <f t="shared" si="13"/>
        <v>13.820000000000007</v>
      </c>
      <c r="O94" s="104">
        <v>0</v>
      </c>
      <c r="P94" s="104">
        <v>0</v>
      </c>
      <c r="Q94" s="177">
        <f t="shared" si="23"/>
        <v>13.820000000000007</v>
      </c>
    </row>
    <row r="95" spans="1:17" ht="15" customHeight="1" x14ac:dyDescent="0.25">
      <c r="A95" s="54" t="s">
        <v>297</v>
      </c>
      <c r="B95" s="53" t="s">
        <v>359</v>
      </c>
      <c r="C95" s="109">
        <v>0</v>
      </c>
      <c r="D95" s="109"/>
      <c r="E95" s="105"/>
      <c r="F95" s="104"/>
      <c r="G95" s="104"/>
      <c r="H95" s="104">
        <v>0</v>
      </c>
      <c r="I95" s="104">
        <v>0</v>
      </c>
      <c r="J95" s="104">
        <f>86.63</f>
        <v>86.63</v>
      </c>
      <c r="K95" s="147">
        <f>SUM(H95:J95)</f>
        <v>86.63</v>
      </c>
      <c r="L95" s="104">
        <v>0</v>
      </c>
      <c r="M95" s="103">
        <v>0</v>
      </c>
      <c r="N95" s="102">
        <f t="shared" si="13"/>
        <v>86.63</v>
      </c>
      <c r="O95" s="104">
        <v>0</v>
      </c>
      <c r="P95" s="104">
        <v>0</v>
      </c>
      <c r="Q95" s="177">
        <f t="shared" si="23"/>
        <v>86.63</v>
      </c>
    </row>
    <row r="96" spans="1:17" ht="15" customHeight="1" x14ac:dyDescent="0.25">
      <c r="A96" s="54" t="s">
        <v>299</v>
      </c>
      <c r="B96" s="53" t="s">
        <v>298</v>
      </c>
      <c r="C96" s="109">
        <v>0</v>
      </c>
      <c r="D96" s="109">
        <f>9.27</f>
        <v>9.27</v>
      </c>
      <c r="E96" s="105">
        <v>0</v>
      </c>
      <c r="F96" s="104">
        <f>SUM(C96:E96)</f>
        <v>9.27</v>
      </c>
      <c r="G96" s="104">
        <v>0</v>
      </c>
      <c r="H96" s="104">
        <f>SUM(F96:G96)</f>
        <v>9.27</v>
      </c>
      <c r="I96" s="104">
        <v>0</v>
      </c>
      <c r="J96" s="104">
        <f>-7.7</f>
        <v>-7.7</v>
      </c>
      <c r="K96" s="147">
        <f t="shared" si="15"/>
        <v>1.5699999999999994</v>
      </c>
      <c r="L96" s="104">
        <v>0</v>
      </c>
      <c r="M96" s="103">
        <f>-0.02</f>
        <v>-0.02</v>
      </c>
      <c r="N96" s="102">
        <f t="shared" si="13"/>
        <v>1.5499999999999994</v>
      </c>
      <c r="O96" s="104">
        <v>0</v>
      </c>
      <c r="P96" s="104">
        <v>0</v>
      </c>
      <c r="Q96" s="177">
        <f t="shared" si="23"/>
        <v>1.5499999999999994</v>
      </c>
    </row>
    <row r="97" spans="1:17" ht="15" customHeight="1" x14ac:dyDescent="0.25">
      <c r="A97" s="54" t="s">
        <v>299</v>
      </c>
      <c r="B97" s="53" t="s">
        <v>359</v>
      </c>
      <c r="C97" s="109">
        <v>0</v>
      </c>
      <c r="D97" s="109"/>
      <c r="E97" s="105"/>
      <c r="F97" s="104"/>
      <c r="G97" s="104"/>
      <c r="H97" s="104">
        <v>0</v>
      </c>
      <c r="I97" s="104">
        <v>0</v>
      </c>
      <c r="J97" s="104">
        <f>9.63</f>
        <v>9.6300000000000008</v>
      </c>
      <c r="K97" s="147">
        <f>SUM(H97:J97)</f>
        <v>9.6300000000000008</v>
      </c>
      <c r="L97" s="104">
        <v>0</v>
      </c>
      <c r="M97" s="103">
        <v>0</v>
      </c>
      <c r="N97" s="102">
        <f t="shared" si="13"/>
        <v>9.6300000000000008</v>
      </c>
      <c r="O97" s="104">
        <v>0</v>
      </c>
      <c r="P97" s="104">
        <v>0</v>
      </c>
      <c r="Q97" s="177">
        <f t="shared" si="23"/>
        <v>9.6300000000000008</v>
      </c>
    </row>
    <row r="98" spans="1:17" ht="15" customHeight="1" x14ac:dyDescent="0.25">
      <c r="A98" s="54" t="s">
        <v>61</v>
      </c>
      <c r="B98" s="53" t="s">
        <v>36</v>
      </c>
      <c r="C98" s="109">
        <v>382</v>
      </c>
      <c r="D98" s="109">
        <v>0</v>
      </c>
      <c r="E98" s="105">
        <v>50</v>
      </c>
      <c r="F98" s="104">
        <f t="shared" si="24"/>
        <v>432</v>
      </c>
      <c r="G98" s="104">
        <v>0</v>
      </c>
      <c r="H98" s="104">
        <f t="shared" si="25"/>
        <v>432</v>
      </c>
      <c r="I98" s="104">
        <v>0</v>
      </c>
      <c r="J98" s="104">
        <v>0</v>
      </c>
      <c r="K98" s="147">
        <f t="shared" si="15"/>
        <v>432</v>
      </c>
      <c r="L98" s="104">
        <f>204</f>
        <v>204</v>
      </c>
      <c r="M98" s="103">
        <v>0</v>
      </c>
      <c r="N98" s="102">
        <f t="shared" si="13"/>
        <v>636</v>
      </c>
      <c r="O98" s="104">
        <v>0</v>
      </c>
      <c r="P98" s="104">
        <v>0</v>
      </c>
      <c r="Q98" s="177">
        <f t="shared" si="23"/>
        <v>636</v>
      </c>
    </row>
    <row r="99" spans="1:17" ht="15" customHeight="1" x14ac:dyDescent="0.25">
      <c r="A99" s="54" t="s">
        <v>62</v>
      </c>
      <c r="B99" s="53" t="s">
        <v>36</v>
      </c>
      <c r="C99" s="109">
        <v>343</v>
      </c>
      <c r="D99" s="109">
        <v>0</v>
      </c>
      <c r="E99" s="105">
        <v>50</v>
      </c>
      <c r="F99" s="104">
        <f t="shared" si="24"/>
        <v>393</v>
      </c>
      <c r="G99" s="104">
        <v>0</v>
      </c>
      <c r="H99" s="104">
        <f t="shared" si="25"/>
        <v>393</v>
      </c>
      <c r="I99" s="104">
        <v>0</v>
      </c>
      <c r="J99" s="104">
        <v>0</v>
      </c>
      <c r="K99" s="115">
        <f t="shared" si="15"/>
        <v>393</v>
      </c>
      <c r="L99" s="104">
        <v>0</v>
      </c>
      <c r="M99" s="103">
        <v>0</v>
      </c>
      <c r="N99" s="102">
        <f t="shared" si="13"/>
        <v>393</v>
      </c>
      <c r="O99" s="104">
        <v>0</v>
      </c>
      <c r="P99" s="104">
        <v>0</v>
      </c>
      <c r="Q99" s="177">
        <f t="shared" si="23"/>
        <v>393</v>
      </c>
    </row>
    <row r="100" spans="1:17" ht="15" customHeight="1" x14ac:dyDescent="0.25">
      <c r="A100" s="54" t="s">
        <v>63</v>
      </c>
      <c r="B100" s="53" t="s">
        <v>36</v>
      </c>
      <c r="C100" s="109">
        <v>4076</v>
      </c>
      <c r="D100" s="109">
        <v>0</v>
      </c>
      <c r="E100" s="105">
        <v>517</v>
      </c>
      <c r="F100" s="104">
        <f t="shared" si="24"/>
        <v>4593</v>
      </c>
      <c r="G100" s="104">
        <v>0</v>
      </c>
      <c r="H100" s="104">
        <f t="shared" si="25"/>
        <v>4593</v>
      </c>
      <c r="I100" s="104">
        <v>-200</v>
      </c>
      <c r="J100" s="104">
        <v>0</v>
      </c>
      <c r="K100" s="147">
        <f t="shared" si="15"/>
        <v>4393</v>
      </c>
      <c r="L100" s="104">
        <v>0</v>
      </c>
      <c r="M100" s="103">
        <v>0</v>
      </c>
      <c r="N100" s="102">
        <f t="shared" si="13"/>
        <v>4393</v>
      </c>
      <c r="O100" s="104">
        <v>0</v>
      </c>
      <c r="P100" s="104">
        <v>0</v>
      </c>
      <c r="Q100" s="177">
        <f t="shared" si="23"/>
        <v>4393</v>
      </c>
    </row>
    <row r="101" spans="1:17" ht="15" customHeight="1" x14ac:dyDescent="0.25">
      <c r="A101" s="54" t="s">
        <v>302</v>
      </c>
      <c r="B101" s="53" t="s">
        <v>298</v>
      </c>
      <c r="C101" s="109">
        <v>0</v>
      </c>
      <c r="D101" s="109">
        <f>83.43</f>
        <v>83.43</v>
      </c>
      <c r="E101" s="105">
        <v>0</v>
      </c>
      <c r="F101" s="104">
        <f>SUM(C101:E101)</f>
        <v>83.43</v>
      </c>
      <c r="G101" s="104">
        <v>0</v>
      </c>
      <c r="H101" s="104">
        <f t="shared" si="25"/>
        <v>83.43</v>
      </c>
      <c r="I101" s="104">
        <v>0</v>
      </c>
      <c r="J101" s="104">
        <f>-59.21</f>
        <v>-59.21</v>
      </c>
      <c r="K101" s="147">
        <f t="shared" si="15"/>
        <v>24.220000000000006</v>
      </c>
      <c r="L101" s="104">
        <v>0</v>
      </c>
      <c r="M101" s="103">
        <v>0</v>
      </c>
      <c r="N101" s="102">
        <f t="shared" si="13"/>
        <v>24.220000000000006</v>
      </c>
      <c r="O101" s="104">
        <v>0</v>
      </c>
      <c r="P101" s="104">
        <v>0</v>
      </c>
      <c r="Q101" s="177">
        <f>SUM(N101:P101)</f>
        <v>24.220000000000006</v>
      </c>
    </row>
    <row r="102" spans="1:17" ht="15" customHeight="1" x14ac:dyDescent="0.25">
      <c r="A102" s="54" t="s">
        <v>302</v>
      </c>
      <c r="B102" s="53" t="s">
        <v>359</v>
      </c>
      <c r="C102" s="109">
        <v>0</v>
      </c>
      <c r="D102" s="109"/>
      <c r="E102" s="105"/>
      <c r="F102" s="104"/>
      <c r="G102" s="104"/>
      <c r="H102" s="104"/>
      <c r="I102" s="104"/>
      <c r="J102" s="104"/>
      <c r="K102" s="147"/>
      <c r="L102" s="104"/>
      <c r="M102" s="103"/>
      <c r="N102" s="102">
        <v>0</v>
      </c>
      <c r="O102" s="104">
        <v>0</v>
      </c>
      <c r="P102" s="104">
        <f>144.39</f>
        <v>144.38999999999999</v>
      </c>
      <c r="Q102" s="177">
        <f>SUM(N102:P102)</f>
        <v>144.38999999999999</v>
      </c>
    </row>
    <row r="103" spans="1:17" ht="15" customHeight="1" x14ac:dyDescent="0.25">
      <c r="A103" s="54" t="s">
        <v>303</v>
      </c>
      <c r="B103" s="53" t="s">
        <v>298</v>
      </c>
      <c r="C103" s="109">
        <v>0</v>
      </c>
      <c r="D103" s="109">
        <f>9.27</f>
        <v>9.27</v>
      </c>
      <c r="E103" s="105">
        <v>0</v>
      </c>
      <c r="F103" s="104">
        <f>SUM(C103:E103)</f>
        <v>9.27</v>
      </c>
      <c r="G103" s="104">
        <v>0</v>
      </c>
      <c r="H103" s="104">
        <f t="shared" si="25"/>
        <v>9.27</v>
      </c>
      <c r="I103" s="104">
        <v>0</v>
      </c>
      <c r="J103" s="104">
        <f>-6.57</f>
        <v>-6.57</v>
      </c>
      <c r="K103" s="147">
        <f t="shared" si="15"/>
        <v>2.6999999999999993</v>
      </c>
      <c r="L103" s="104">
        <v>0</v>
      </c>
      <c r="M103" s="103">
        <v>0</v>
      </c>
      <c r="N103" s="102">
        <f t="shared" si="13"/>
        <v>2.6999999999999993</v>
      </c>
      <c r="O103" s="104">
        <v>0</v>
      </c>
      <c r="P103" s="104">
        <v>0</v>
      </c>
      <c r="Q103" s="177">
        <f t="shared" si="23"/>
        <v>2.6999999999999993</v>
      </c>
    </row>
    <row r="104" spans="1:17" ht="15" customHeight="1" x14ac:dyDescent="0.25">
      <c r="A104" s="54" t="s">
        <v>303</v>
      </c>
      <c r="B104" s="53" t="s">
        <v>359</v>
      </c>
      <c r="C104" s="109">
        <v>0</v>
      </c>
      <c r="D104" s="109"/>
      <c r="E104" s="105"/>
      <c r="F104" s="104"/>
      <c r="G104" s="104"/>
      <c r="H104" s="104"/>
      <c r="I104" s="104"/>
      <c r="J104" s="104"/>
      <c r="K104" s="147"/>
      <c r="L104" s="104"/>
      <c r="M104" s="103"/>
      <c r="N104" s="102">
        <v>0</v>
      </c>
      <c r="O104" s="104">
        <v>0</v>
      </c>
      <c r="P104" s="104">
        <f>16.05</f>
        <v>16.05</v>
      </c>
      <c r="Q104" s="177">
        <f>SUM(N104:P104)</f>
        <v>16.05</v>
      </c>
    </row>
    <row r="105" spans="1:17" ht="15" customHeight="1" x14ac:dyDescent="0.25">
      <c r="A105" s="54" t="s">
        <v>64</v>
      </c>
      <c r="B105" s="53" t="s">
        <v>36</v>
      </c>
      <c r="C105" s="109">
        <v>385</v>
      </c>
      <c r="D105" s="109">
        <v>0</v>
      </c>
      <c r="E105" s="105">
        <v>50</v>
      </c>
      <c r="F105" s="104">
        <f t="shared" si="24"/>
        <v>435</v>
      </c>
      <c r="G105" s="104">
        <v>0</v>
      </c>
      <c r="H105" s="104">
        <f t="shared" si="25"/>
        <v>435</v>
      </c>
      <c r="I105" s="104">
        <v>0</v>
      </c>
      <c r="J105" s="104">
        <v>0</v>
      </c>
      <c r="K105" s="147">
        <f t="shared" si="15"/>
        <v>435</v>
      </c>
      <c r="L105" s="104">
        <v>0</v>
      </c>
      <c r="M105" s="103">
        <v>0</v>
      </c>
      <c r="N105" s="102">
        <f t="shared" si="13"/>
        <v>435</v>
      </c>
      <c r="O105" s="104">
        <v>0</v>
      </c>
      <c r="P105" s="104">
        <v>0</v>
      </c>
      <c r="Q105" s="177">
        <f t="shared" si="23"/>
        <v>435</v>
      </c>
    </row>
    <row r="106" spans="1:17" ht="15" customHeight="1" x14ac:dyDescent="0.25">
      <c r="A106" s="54" t="s">
        <v>65</v>
      </c>
      <c r="B106" s="53" t="s">
        <v>36</v>
      </c>
      <c r="C106" s="109">
        <v>3531</v>
      </c>
      <c r="D106" s="109">
        <v>0</v>
      </c>
      <c r="E106" s="105">
        <v>262</v>
      </c>
      <c r="F106" s="104">
        <f t="shared" si="24"/>
        <v>3793</v>
      </c>
      <c r="G106" s="104">
        <v>0</v>
      </c>
      <c r="H106" s="104">
        <f t="shared" si="25"/>
        <v>3793</v>
      </c>
      <c r="I106" s="104">
        <v>0</v>
      </c>
      <c r="J106" s="104">
        <v>0</v>
      </c>
      <c r="K106" s="147">
        <f t="shared" si="15"/>
        <v>3793</v>
      </c>
      <c r="L106" s="104">
        <f>140</f>
        <v>140</v>
      </c>
      <c r="M106" s="103">
        <v>0</v>
      </c>
      <c r="N106" s="102">
        <f t="shared" si="13"/>
        <v>3933</v>
      </c>
      <c r="O106" s="104">
        <v>0</v>
      </c>
      <c r="P106" s="104">
        <v>0</v>
      </c>
      <c r="Q106" s="177">
        <f t="shared" si="23"/>
        <v>3933</v>
      </c>
    </row>
    <row r="107" spans="1:17" ht="15" customHeight="1" x14ac:dyDescent="0.25">
      <c r="A107" s="54" t="s">
        <v>308</v>
      </c>
      <c r="B107" s="53" t="s">
        <v>298</v>
      </c>
      <c r="C107" s="109">
        <v>0</v>
      </c>
      <c r="D107" s="109">
        <f>87.61</f>
        <v>87.61</v>
      </c>
      <c r="E107" s="105">
        <v>0</v>
      </c>
      <c r="F107" s="104">
        <f>SUM(C107:E107)</f>
        <v>87.61</v>
      </c>
      <c r="G107" s="104">
        <v>0</v>
      </c>
      <c r="H107" s="104">
        <f t="shared" si="25"/>
        <v>87.61</v>
      </c>
      <c r="I107" s="104">
        <v>0</v>
      </c>
      <c r="J107" s="104">
        <f>-30.64</f>
        <v>-30.64</v>
      </c>
      <c r="K107" s="147">
        <f t="shared" si="15"/>
        <v>56.97</v>
      </c>
      <c r="L107" s="104">
        <v>0</v>
      </c>
      <c r="M107" s="103">
        <v>0</v>
      </c>
      <c r="N107" s="102">
        <f t="shared" si="13"/>
        <v>56.97</v>
      </c>
      <c r="O107" s="104">
        <v>0</v>
      </c>
      <c r="P107" s="104">
        <v>0</v>
      </c>
      <c r="Q107" s="177">
        <f t="shared" si="23"/>
        <v>56.97</v>
      </c>
    </row>
    <row r="108" spans="1:17" ht="15" customHeight="1" x14ac:dyDescent="0.25">
      <c r="A108" s="54" t="s">
        <v>308</v>
      </c>
      <c r="B108" s="53" t="s">
        <v>359</v>
      </c>
      <c r="C108" s="109">
        <v>0</v>
      </c>
      <c r="D108" s="109"/>
      <c r="E108" s="105"/>
      <c r="F108" s="104"/>
      <c r="G108" s="104"/>
      <c r="H108" s="104">
        <v>0</v>
      </c>
      <c r="I108" s="104">
        <v>0</v>
      </c>
      <c r="J108" s="104">
        <f>202.14</f>
        <v>202.14</v>
      </c>
      <c r="K108" s="147">
        <f>SUM(H108:J108)</f>
        <v>202.14</v>
      </c>
      <c r="L108" s="104">
        <v>0</v>
      </c>
      <c r="M108" s="103">
        <v>0</v>
      </c>
      <c r="N108" s="102">
        <f t="shared" si="13"/>
        <v>202.14</v>
      </c>
      <c r="O108" s="104">
        <v>0</v>
      </c>
      <c r="P108" s="104">
        <v>0</v>
      </c>
      <c r="Q108" s="177">
        <f t="shared" si="23"/>
        <v>202.14</v>
      </c>
    </row>
    <row r="109" spans="1:17" ht="15" customHeight="1" x14ac:dyDescent="0.25">
      <c r="A109" s="54" t="s">
        <v>309</v>
      </c>
      <c r="B109" s="53" t="s">
        <v>298</v>
      </c>
      <c r="C109" s="109">
        <v>0</v>
      </c>
      <c r="D109" s="109">
        <f>9.74</f>
        <v>9.74</v>
      </c>
      <c r="E109" s="105">
        <v>0</v>
      </c>
      <c r="F109" s="104">
        <f>SUM(C109:E109)</f>
        <v>9.74</v>
      </c>
      <c r="G109" s="104">
        <v>0</v>
      </c>
      <c r="H109" s="104">
        <f t="shared" si="25"/>
        <v>9.74</v>
      </c>
      <c r="I109" s="104">
        <v>0</v>
      </c>
      <c r="J109" s="104">
        <f>-3.4</f>
        <v>-3.4</v>
      </c>
      <c r="K109" s="147">
        <f t="shared" si="15"/>
        <v>6.34</v>
      </c>
      <c r="L109" s="104">
        <v>0</v>
      </c>
      <c r="M109" s="103">
        <v>0</v>
      </c>
      <c r="N109" s="102">
        <f t="shared" si="13"/>
        <v>6.34</v>
      </c>
      <c r="O109" s="104">
        <v>0</v>
      </c>
      <c r="P109" s="104">
        <v>0</v>
      </c>
      <c r="Q109" s="177">
        <f t="shared" si="23"/>
        <v>6.34</v>
      </c>
    </row>
    <row r="110" spans="1:17" ht="15" customHeight="1" x14ac:dyDescent="0.25">
      <c r="A110" s="54" t="s">
        <v>309</v>
      </c>
      <c r="B110" s="53" t="s">
        <v>359</v>
      </c>
      <c r="C110" s="109">
        <v>0</v>
      </c>
      <c r="D110" s="109"/>
      <c r="E110" s="105"/>
      <c r="F110" s="104"/>
      <c r="G110" s="104"/>
      <c r="H110" s="104">
        <v>0</v>
      </c>
      <c r="I110" s="104">
        <v>0</v>
      </c>
      <c r="J110" s="104">
        <f>22.46</f>
        <v>22.46</v>
      </c>
      <c r="K110" s="147">
        <f>SUM(H110:J110)</f>
        <v>22.46</v>
      </c>
      <c r="L110" s="104">
        <v>0</v>
      </c>
      <c r="M110" s="103">
        <v>0</v>
      </c>
      <c r="N110" s="102">
        <f t="shared" si="13"/>
        <v>22.46</v>
      </c>
      <c r="O110" s="104">
        <v>0</v>
      </c>
      <c r="P110" s="104">
        <v>0</v>
      </c>
      <c r="Q110" s="177">
        <f t="shared" si="23"/>
        <v>22.46</v>
      </c>
    </row>
    <row r="111" spans="1:17" ht="28.5" customHeight="1" x14ac:dyDescent="0.25">
      <c r="A111" s="17" t="s">
        <v>288</v>
      </c>
      <c r="B111" s="53" t="s">
        <v>271</v>
      </c>
      <c r="C111" s="109">
        <v>0</v>
      </c>
      <c r="D111" s="109">
        <v>0</v>
      </c>
      <c r="E111" s="105">
        <v>16.66</v>
      </c>
      <c r="F111" s="104">
        <f t="shared" si="24"/>
        <v>16.66</v>
      </c>
      <c r="G111" s="104">
        <v>0</v>
      </c>
      <c r="H111" s="104">
        <f t="shared" si="25"/>
        <v>16.66</v>
      </c>
      <c r="I111" s="104">
        <v>0</v>
      </c>
      <c r="J111" s="104">
        <v>0</v>
      </c>
      <c r="K111" s="147">
        <f t="shared" si="15"/>
        <v>16.66</v>
      </c>
      <c r="L111" s="104">
        <v>0</v>
      </c>
      <c r="M111" s="103">
        <v>0</v>
      </c>
      <c r="N111" s="102">
        <f t="shared" si="13"/>
        <v>16.66</v>
      </c>
      <c r="O111" s="104">
        <v>0</v>
      </c>
      <c r="P111" s="104">
        <v>0</v>
      </c>
      <c r="Q111" s="177">
        <f t="shared" si="23"/>
        <v>16.66</v>
      </c>
    </row>
    <row r="112" spans="1:17" ht="15" customHeight="1" x14ac:dyDescent="0.25">
      <c r="A112" s="54" t="s">
        <v>66</v>
      </c>
      <c r="B112" s="53" t="s">
        <v>36</v>
      </c>
      <c r="C112" s="109">
        <v>4894</v>
      </c>
      <c r="D112" s="109">
        <v>0</v>
      </c>
      <c r="E112" s="105">
        <v>550</v>
      </c>
      <c r="F112" s="104">
        <f t="shared" si="24"/>
        <v>5444</v>
      </c>
      <c r="G112" s="104">
        <v>0</v>
      </c>
      <c r="H112" s="104">
        <f t="shared" si="25"/>
        <v>5444</v>
      </c>
      <c r="I112" s="104">
        <v>0</v>
      </c>
      <c r="J112" s="104">
        <v>0</v>
      </c>
      <c r="K112" s="147">
        <f t="shared" si="15"/>
        <v>5444</v>
      </c>
      <c r="L112" s="104">
        <v>0</v>
      </c>
      <c r="M112" s="103">
        <v>0</v>
      </c>
      <c r="N112" s="102">
        <f t="shared" si="13"/>
        <v>5444</v>
      </c>
      <c r="O112" s="104">
        <v>0</v>
      </c>
      <c r="P112" s="104">
        <v>0</v>
      </c>
      <c r="Q112" s="177">
        <f t="shared" si="23"/>
        <v>5444</v>
      </c>
    </row>
    <row r="113" spans="1:17" ht="39" customHeight="1" x14ac:dyDescent="0.25">
      <c r="A113" s="17" t="s">
        <v>289</v>
      </c>
      <c r="B113" s="53" t="s">
        <v>271</v>
      </c>
      <c r="C113" s="109">
        <v>0</v>
      </c>
      <c r="D113" s="109">
        <v>0</v>
      </c>
      <c r="E113" s="105">
        <v>36.58</v>
      </c>
      <c r="F113" s="104">
        <f>SUM(C113:E113)</f>
        <v>36.58</v>
      </c>
      <c r="G113" s="104">
        <v>0</v>
      </c>
      <c r="H113" s="104">
        <f t="shared" si="25"/>
        <v>36.58</v>
      </c>
      <c r="I113" s="104">
        <v>0</v>
      </c>
      <c r="J113" s="104">
        <v>0</v>
      </c>
      <c r="K113" s="147">
        <f t="shared" si="15"/>
        <v>36.58</v>
      </c>
      <c r="L113" s="104">
        <v>0</v>
      </c>
      <c r="M113" s="103">
        <v>0</v>
      </c>
      <c r="N113" s="102">
        <f t="shared" si="13"/>
        <v>36.58</v>
      </c>
      <c r="O113" s="104">
        <v>0</v>
      </c>
      <c r="P113" s="104">
        <v>0</v>
      </c>
      <c r="Q113" s="177">
        <f t="shared" si="23"/>
        <v>36.58</v>
      </c>
    </row>
    <row r="114" spans="1:17" ht="17.25" customHeight="1" x14ac:dyDescent="0.25">
      <c r="A114" s="17" t="s">
        <v>67</v>
      </c>
      <c r="B114" s="53" t="s">
        <v>36</v>
      </c>
      <c r="C114" s="109">
        <v>9231</v>
      </c>
      <c r="D114" s="109">
        <v>0</v>
      </c>
      <c r="E114" s="105">
        <v>1173</v>
      </c>
      <c r="F114" s="104">
        <f t="shared" si="24"/>
        <v>10404</v>
      </c>
      <c r="G114" s="104">
        <v>0</v>
      </c>
      <c r="H114" s="104">
        <f t="shared" si="25"/>
        <v>10404</v>
      </c>
      <c r="I114" s="104">
        <v>0</v>
      </c>
      <c r="J114" s="104">
        <v>0</v>
      </c>
      <c r="K114" s="147">
        <f t="shared" si="15"/>
        <v>10404</v>
      </c>
      <c r="L114" s="104">
        <f>32</f>
        <v>32</v>
      </c>
      <c r="M114" s="103">
        <v>0</v>
      </c>
      <c r="N114" s="102">
        <f t="shared" ref="N114:N182" si="26">SUM(K114:M114)</f>
        <v>10436</v>
      </c>
      <c r="O114" s="104">
        <v>0</v>
      </c>
      <c r="P114" s="104">
        <v>0</v>
      </c>
      <c r="Q114" s="177">
        <f t="shared" si="23"/>
        <v>10436</v>
      </c>
    </row>
    <row r="115" spans="1:17" ht="15" customHeight="1" x14ac:dyDescent="0.25">
      <c r="A115" s="17" t="s">
        <v>68</v>
      </c>
      <c r="B115" s="53" t="s">
        <v>36</v>
      </c>
      <c r="C115" s="109">
        <v>7728</v>
      </c>
      <c r="D115" s="109">
        <v>0</v>
      </c>
      <c r="E115" s="105">
        <v>220</v>
      </c>
      <c r="F115" s="104">
        <f t="shared" si="24"/>
        <v>7948</v>
      </c>
      <c r="G115" s="104">
        <v>0</v>
      </c>
      <c r="H115" s="104">
        <f t="shared" si="25"/>
        <v>7948</v>
      </c>
      <c r="I115" s="104">
        <v>0</v>
      </c>
      <c r="J115" s="104">
        <v>0</v>
      </c>
      <c r="K115" s="147">
        <f t="shared" si="15"/>
        <v>7948</v>
      </c>
      <c r="L115" s="104">
        <f>52.69</f>
        <v>52.69</v>
      </c>
      <c r="M115" s="103">
        <v>0</v>
      </c>
      <c r="N115" s="102">
        <f t="shared" si="26"/>
        <v>8000.69</v>
      </c>
      <c r="O115" s="104">
        <v>0</v>
      </c>
      <c r="P115" s="104">
        <v>0</v>
      </c>
      <c r="Q115" s="177">
        <f t="shared" si="23"/>
        <v>8000.69</v>
      </c>
    </row>
    <row r="116" spans="1:17" ht="15" customHeight="1" x14ac:dyDescent="0.25">
      <c r="A116" s="17" t="s">
        <v>384</v>
      </c>
      <c r="B116" s="53" t="s">
        <v>385</v>
      </c>
      <c r="C116" s="109">
        <v>0</v>
      </c>
      <c r="D116" s="109"/>
      <c r="E116" s="105"/>
      <c r="F116" s="104"/>
      <c r="G116" s="104"/>
      <c r="H116" s="104"/>
      <c r="I116" s="104"/>
      <c r="J116" s="104"/>
      <c r="K116" s="147"/>
      <c r="L116" s="104"/>
      <c r="M116" s="103"/>
      <c r="N116" s="102">
        <v>0</v>
      </c>
      <c r="O116" s="104">
        <v>0</v>
      </c>
      <c r="P116" s="104">
        <f>76</f>
        <v>76</v>
      </c>
      <c r="Q116" s="177">
        <f>SUM(N116:P116)</f>
        <v>76</v>
      </c>
    </row>
    <row r="117" spans="1:17" x14ac:dyDescent="0.25">
      <c r="A117" s="54" t="s">
        <v>69</v>
      </c>
      <c r="B117" s="53" t="s">
        <v>36</v>
      </c>
      <c r="C117" s="109">
        <v>2224</v>
      </c>
      <c r="D117" s="109">
        <v>0</v>
      </c>
      <c r="E117" s="105">
        <v>100</v>
      </c>
      <c r="F117" s="104">
        <f t="shared" si="24"/>
        <v>2324</v>
      </c>
      <c r="G117" s="104">
        <v>0</v>
      </c>
      <c r="H117" s="104">
        <f t="shared" si="25"/>
        <v>2324</v>
      </c>
      <c r="I117" s="104">
        <v>0</v>
      </c>
      <c r="J117" s="104">
        <v>0</v>
      </c>
      <c r="K117" s="147">
        <f t="shared" si="15"/>
        <v>2324</v>
      </c>
      <c r="L117" s="104">
        <v>0</v>
      </c>
      <c r="M117" s="103">
        <v>0</v>
      </c>
      <c r="N117" s="102">
        <f t="shared" si="26"/>
        <v>2324</v>
      </c>
      <c r="O117" s="104">
        <v>0</v>
      </c>
      <c r="P117" s="104">
        <v>0</v>
      </c>
      <c r="Q117" s="177">
        <f t="shared" si="23"/>
        <v>2324</v>
      </c>
    </row>
    <row r="118" spans="1:17" x14ac:dyDescent="0.25">
      <c r="A118" s="54" t="s">
        <v>70</v>
      </c>
      <c r="B118" s="53" t="s">
        <v>36</v>
      </c>
      <c r="C118" s="109">
        <v>5122</v>
      </c>
      <c r="D118" s="109">
        <v>0</v>
      </c>
      <c r="E118" s="105">
        <v>417</v>
      </c>
      <c r="F118" s="104">
        <f t="shared" si="24"/>
        <v>5539</v>
      </c>
      <c r="G118" s="104">
        <v>0</v>
      </c>
      <c r="H118" s="104">
        <f t="shared" si="25"/>
        <v>5539</v>
      </c>
      <c r="I118" s="104">
        <v>0</v>
      </c>
      <c r="J118" s="104">
        <v>0</v>
      </c>
      <c r="K118" s="147">
        <f t="shared" si="15"/>
        <v>5539</v>
      </c>
      <c r="L118" s="104">
        <f>107</f>
        <v>107</v>
      </c>
      <c r="M118" s="103">
        <v>0</v>
      </c>
      <c r="N118" s="102">
        <f t="shared" si="26"/>
        <v>5646</v>
      </c>
      <c r="O118" s="104">
        <v>0</v>
      </c>
      <c r="P118" s="104">
        <v>0</v>
      </c>
      <c r="Q118" s="177">
        <f t="shared" si="23"/>
        <v>5646</v>
      </c>
    </row>
    <row r="119" spans="1:17" ht="15.75" customHeight="1" x14ac:dyDescent="0.25">
      <c r="A119" s="17" t="s">
        <v>71</v>
      </c>
      <c r="B119" s="53" t="s">
        <v>36</v>
      </c>
      <c r="C119" s="109">
        <v>14283</v>
      </c>
      <c r="D119" s="109">
        <v>0</v>
      </c>
      <c r="E119" s="105">
        <v>214</v>
      </c>
      <c r="F119" s="104">
        <f t="shared" si="24"/>
        <v>14497</v>
      </c>
      <c r="G119" s="104">
        <v>0</v>
      </c>
      <c r="H119" s="104">
        <f t="shared" si="25"/>
        <v>14497</v>
      </c>
      <c r="I119" s="104">
        <v>0</v>
      </c>
      <c r="J119" s="104">
        <v>0</v>
      </c>
      <c r="K119" s="147">
        <f t="shared" si="15"/>
        <v>14497</v>
      </c>
      <c r="L119" s="104">
        <f>29</f>
        <v>29</v>
      </c>
      <c r="M119" s="103">
        <v>0</v>
      </c>
      <c r="N119" s="102">
        <f t="shared" si="26"/>
        <v>14526</v>
      </c>
      <c r="O119" s="104">
        <v>0</v>
      </c>
      <c r="P119" s="104">
        <v>0</v>
      </c>
      <c r="Q119" s="177">
        <f t="shared" si="23"/>
        <v>14526</v>
      </c>
    </row>
    <row r="120" spans="1:17" ht="15.75" customHeight="1" x14ac:dyDescent="0.25">
      <c r="A120" s="17" t="s">
        <v>360</v>
      </c>
      <c r="B120" s="53" t="s">
        <v>36</v>
      </c>
      <c r="C120" s="109">
        <v>0</v>
      </c>
      <c r="D120" s="109"/>
      <c r="E120" s="105"/>
      <c r="F120" s="104"/>
      <c r="G120" s="104"/>
      <c r="H120" s="104">
        <v>0</v>
      </c>
      <c r="I120" s="104">
        <v>0</v>
      </c>
      <c r="J120" s="104">
        <f>4273.06</f>
        <v>4273.0600000000004</v>
      </c>
      <c r="K120" s="147">
        <f>SUM(H120:J120)</f>
        <v>4273.0600000000004</v>
      </c>
      <c r="L120" s="104">
        <v>0</v>
      </c>
      <c r="M120" s="103">
        <v>0</v>
      </c>
      <c r="N120" s="102">
        <f t="shared" si="26"/>
        <v>4273.0600000000004</v>
      </c>
      <c r="O120" s="104">
        <v>0</v>
      </c>
      <c r="P120" s="104">
        <v>0</v>
      </c>
      <c r="Q120" s="177">
        <f t="shared" si="23"/>
        <v>4273.0600000000004</v>
      </c>
    </row>
    <row r="121" spans="1:17" x14ac:dyDescent="0.25">
      <c r="A121" s="54" t="s">
        <v>72</v>
      </c>
      <c r="B121" s="53" t="s">
        <v>36</v>
      </c>
      <c r="C121" s="109">
        <v>9246</v>
      </c>
      <c r="D121" s="109">
        <v>0</v>
      </c>
      <c r="E121" s="105">
        <v>555</v>
      </c>
      <c r="F121" s="104">
        <f t="shared" si="24"/>
        <v>9801</v>
      </c>
      <c r="G121" s="104">
        <v>0</v>
      </c>
      <c r="H121" s="104">
        <f t="shared" si="25"/>
        <v>9801</v>
      </c>
      <c r="I121" s="104">
        <v>0</v>
      </c>
      <c r="J121" s="104">
        <v>0</v>
      </c>
      <c r="K121" s="147">
        <f t="shared" si="15"/>
        <v>9801</v>
      </c>
      <c r="L121" s="104">
        <f>25</f>
        <v>25</v>
      </c>
      <c r="M121" s="103">
        <v>0</v>
      </c>
      <c r="N121" s="102">
        <f t="shared" si="26"/>
        <v>9826</v>
      </c>
      <c r="O121" s="104">
        <v>0</v>
      </c>
      <c r="P121" s="104">
        <v>0</v>
      </c>
      <c r="Q121" s="177">
        <f t="shared" si="23"/>
        <v>9826</v>
      </c>
    </row>
    <row r="122" spans="1:17" x14ac:dyDescent="0.25">
      <c r="A122" s="54" t="s">
        <v>73</v>
      </c>
      <c r="B122" s="53" t="s">
        <v>36</v>
      </c>
      <c r="C122" s="109">
        <v>10173</v>
      </c>
      <c r="D122" s="109">
        <v>0</v>
      </c>
      <c r="E122" s="105">
        <v>337</v>
      </c>
      <c r="F122" s="104">
        <f t="shared" si="24"/>
        <v>10510</v>
      </c>
      <c r="G122" s="104">
        <v>0</v>
      </c>
      <c r="H122" s="104">
        <f t="shared" si="25"/>
        <v>10510</v>
      </c>
      <c r="I122" s="104">
        <v>0</v>
      </c>
      <c r="J122" s="104">
        <v>0</v>
      </c>
      <c r="K122" s="147">
        <f t="shared" si="15"/>
        <v>10510</v>
      </c>
      <c r="L122" s="104">
        <f>21</f>
        <v>21</v>
      </c>
      <c r="M122" s="103">
        <v>0</v>
      </c>
      <c r="N122" s="102">
        <f t="shared" si="26"/>
        <v>10531</v>
      </c>
      <c r="O122" s="104">
        <v>0</v>
      </c>
      <c r="P122" s="104">
        <v>0</v>
      </c>
      <c r="Q122" s="177">
        <f t="shared" si="23"/>
        <v>10531</v>
      </c>
    </row>
    <row r="123" spans="1:17" x14ac:dyDescent="0.25">
      <c r="A123" s="54" t="s">
        <v>74</v>
      </c>
      <c r="B123" s="53" t="s">
        <v>36</v>
      </c>
      <c r="C123" s="109">
        <v>7853</v>
      </c>
      <c r="D123" s="109">
        <v>0</v>
      </c>
      <c r="E123" s="105">
        <v>168</v>
      </c>
      <c r="F123" s="104">
        <f t="shared" si="24"/>
        <v>8021</v>
      </c>
      <c r="G123" s="104">
        <v>0</v>
      </c>
      <c r="H123" s="104">
        <f t="shared" si="25"/>
        <v>8021</v>
      </c>
      <c r="I123" s="104">
        <v>0</v>
      </c>
      <c r="J123" s="104">
        <v>0</v>
      </c>
      <c r="K123" s="147">
        <f t="shared" si="15"/>
        <v>8021</v>
      </c>
      <c r="L123" s="104">
        <f>67</f>
        <v>67</v>
      </c>
      <c r="M123" s="103">
        <v>0</v>
      </c>
      <c r="N123" s="102">
        <f t="shared" si="26"/>
        <v>8088</v>
      </c>
      <c r="O123" s="104">
        <v>0</v>
      </c>
      <c r="P123" s="104">
        <v>0</v>
      </c>
      <c r="Q123" s="177">
        <f t="shared" si="23"/>
        <v>8088</v>
      </c>
    </row>
    <row r="124" spans="1:17" x14ac:dyDescent="0.25">
      <c r="A124" s="54" t="s">
        <v>75</v>
      </c>
      <c r="B124" s="53" t="s">
        <v>36</v>
      </c>
      <c r="C124" s="109">
        <v>3554</v>
      </c>
      <c r="D124" s="109">
        <v>0</v>
      </c>
      <c r="E124" s="105">
        <v>462</v>
      </c>
      <c r="F124" s="104">
        <f t="shared" si="24"/>
        <v>4016</v>
      </c>
      <c r="G124" s="104">
        <v>0</v>
      </c>
      <c r="H124" s="104">
        <f t="shared" si="25"/>
        <v>4016</v>
      </c>
      <c r="I124" s="104">
        <v>0</v>
      </c>
      <c r="J124" s="104">
        <v>0</v>
      </c>
      <c r="K124" s="147">
        <f t="shared" si="15"/>
        <v>4016</v>
      </c>
      <c r="L124" s="104">
        <f>21</f>
        <v>21</v>
      </c>
      <c r="M124" s="103">
        <v>0</v>
      </c>
      <c r="N124" s="102">
        <f t="shared" si="26"/>
        <v>4037</v>
      </c>
      <c r="O124" s="104">
        <v>0</v>
      </c>
      <c r="P124" s="104">
        <v>0</v>
      </c>
      <c r="Q124" s="177">
        <f t="shared" si="23"/>
        <v>4037</v>
      </c>
    </row>
    <row r="125" spans="1:17" x14ac:dyDescent="0.25">
      <c r="A125" s="54" t="s">
        <v>372</v>
      </c>
      <c r="B125" s="53" t="s">
        <v>373</v>
      </c>
      <c r="C125" s="109">
        <v>0</v>
      </c>
      <c r="D125" s="109"/>
      <c r="E125" s="105"/>
      <c r="F125" s="104"/>
      <c r="G125" s="104"/>
      <c r="H125" s="104"/>
      <c r="I125" s="104"/>
      <c r="J125" s="104"/>
      <c r="K125" s="147">
        <v>0</v>
      </c>
      <c r="L125" s="104">
        <v>0</v>
      </c>
      <c r="M125" s="103">
        <f>62.9</f>
        <v>62.9</v>
      </c>
      <c r="N125" s="102">
        <f>SUM(K125:M125)</f>
        <v>62.9</v>
      </c>
      <c r="O125" s="104">
        <v>0</v>
      </c>
      <c r="P125" s="104">
        <v>0</v>
      </c>
      <c r="Q125" s="177">
        <f t="shared" si="23"/>
        <v>62.9</v>
      </c>
    </row>
    <row r="126" spans="1:17" ht="15.75" customHeight="1" x14ac:dyDescent="0.25">
      <c r="A126" s="54" t="s">
        <v>76</v>
      </c>
      <c r="B126" s="53" t="s">
        <v>36</v>
      </c>
      <c r="C126" s="109">
        <v>1575</v>
      </c>
      <c r="D126" s="109">
        <v>0</v>
      </c>
      <c r="E126" s="105">
        <v>100</v>
      </c>
      <c r="F126" s="104">
        <f t="shared" si="24"/>
        <v>1675</v>
      </c>
      <c r="G126" s="104">
        <v>0</v>
      </c>
      <c r="H126" s="104">
        <f t="shared" si="25"/>
        <v>1675</v>
      </c>
      <c r="I126" s="104">
        <v>0</v>
      </c>
      <c r="J126" s="104">
        <v>0</v>
      </c>
      <c r="K126" s="147">
        <f t="shared" si="15"/>
        <v>1675</v>
      </c>
      <c r="L126" s="104">
        <f>134</f>
        <v>134</v>
      </c>
      <c r="M126" s="103">
        <v>0</v>
      </c>
      <c r="N126" s="102">
        <f t="shared" si="26"/>
        <v>1809</v>
      </c>
      <c r="O126" s="104">
        <v>0</v>
      </c>
      <c r="P126" s="104">
        <v>0</v>
      </c>
      <c r="Q126" s="177">
        <f t="shared" si="23"/>
        <v>1809</v>
      </c>
    </row>
    <row r="127" spans="1:17" x14ac:dyDescent="0.25">
      <c r="A127" s="54" t="s">
        <v>77</v>
      </c>
      <c r="B127" s="53" t="s">
        <v>36</v>
      </c>
      <c r="C127" s="109">
        <v>11136</v>
      </c>
      <c r="D127" s="109">
        <v>0</v>
      </c>
      <c r="E127" s="105">
        <v>1062</v>
      </c>
      <c r="F127" s="104">
        <f t="shared" si="24"/>
        <v>12198</v>
      </c>
      <c r="G127" s="104">
        <v>0</v>
      </c>
      <c r="H127" s="104">
        <f t="shared" si="25"/>
        <v>12198</v>
      </c>
      <c r="I127" s="104">
        <v>0</v>
      </c>
      <c r="J127" s="104">
        <v>0</v>
      </c>
      <c r="K127" s="147">
        <f t="shared" ref="K127:K191" si="27">SUM(H127:J127)</f>
        <v>12198</v>
      </c>
      <c r="L127" s="104">
        <f>272.25</f>
        <v>272.25</v>
      </c>
      <c r="M127" s="103">
        <v>0</v>
      </c>
      <c r="N127" s="102">
        <f t="shared" si="26"/>
        <v>12470.25</v>
      </c>
      <c r="O127" s="104">
        <v>0</v>
      </c>
      <c r="P127" s="104">
        <v>0</v>
      </c>
      <c r="Q127" s="177">
        <f t="shared" si="23"/>
        <v>12470.25</v>
      </c>
    </row>
    <row r="128" spans="1:17" x14ac:dyDescent="0.25">
      <c r="A128" s="54" t="s">
        <v>263</v>
      </c>
      <c r="B128" s="53" t="s">
        <v>264</v>
      </c>
      <c r="C128" s="109">
        <v>0</v>
      </c>
      <c r="D128" s="109">
        <f>166.86-143.36</f>
        <v>23.5</v>
      </c>
      <c r="E128" s="105">
        <v>0</v>
      </c>
      <c r="F128" s="104">
        <f t="shared" si="24"/>
        <v>23.5</v>
      </c>
      <c r="G128" s="104">
        <v>0</v>
      </c>
      <c r="H128" s="104">
        <f t="shared" si="25"/>
        <v>23.5</v>
      </c>
      <c r="I128" s="104">
        <v>0</v>
      </c>
      <c r="J128" s="104">
        <v>0</v>
      </c>
      <c r="K128" s="147">
        <f t="shared" si="27"/>
        <v>23.5</v>
      </c>
      <c r="L128" s="104">
        <v>0</v>
      </c>
      <c r="M128" s="103">
        <v>0</v>
      </c>
      <c r="N128" s="102">
        <f t="shared" si="26"/>
        <v>23.5</v>
      </c>
      <c r="O128" s="104">
        <v>0</v>
      </c>
      <c r="P128" s="104">
        <v>0</v>
      </c>
      <c r="Q128" s="177">
        <f t="shared" si="23"/>
        <v>23.5</v>
      </c>
    </row>
    <row r="129" spans="1:17" x14ac:dyDescent="0.25">
      <c r="A129" s="54" t="s">
        <v>265</v>
      </c>
      <c r="B129" s="53" t="s">
        <v>264</v>
      </c>
      <c r="C129" s="109">
        <v>0</v>
      </c>
      <c r="D129" s="109">
        <f>18.54-15.92</f>
        <v>2.6199999999999992</v>
      </c>
      <c r="E129" s="105">
        <v>0</v>
      </c>
      <c r="F129" s="104">
        <f t="shared" si="24"/>
        <v>2.6199999999999992</v>
      </c>
      <c r="G129" s="104">
        <v>0</v>
      </c>
      <c r="H129" s="104">
        <f t="shared" si="25"/>
        <v>2.6199999999999992</v>
      </c>
      <c r="I129" s="104">
        <v>0</v>
      </c>
      <c r="J129" s="104">
        <v>0</v>
      </c>
      <c r="K129" s="147">
        <f t="shared" si="27"/>
        <v>2.6199999999999992</v>
      </c>
      <c r="L129" s="104">
        <v>0</v>
      </c>
      <c r="M129" s="103">
        <v>0</v>
      </c>
      <c r="N129" s="102">
        <f t="shared" si="26"/>
        <v>2.6199999999999992</v>
      </c>
      <c r="O129" s="104">
        <v>0</v>
      </c>
      <c r="P129" s="104">
        <v>0</v>
      </c>
      <c r="Q129" s="177">
        <f t="shared" si="23"/>
        <v>2.6199999999999992</v>
      </c>
    </row>
    <row r="130" spans="1:17" x14ac:dyDescent="0.25">
      <c r="A130" s="54" t="s">
        <v>374</v>
      </c>
      <c r="B130" s="53" t="s">
        <v>373</v>
      </c>
      <c r="C130" s="109">
        <v>0</v>
      </c>
      <c r="D130" s="109"/>
      <c r="E130" s="105"/>
      <c r="F130" s="104"/>
      <c r="G130" s="102"/>
      <c r="H130" s="102"/>
      <c r="I130" s="102"/>
      <c r="J130" s="102"/>
      <c r="K130" s="147">
        <v>0</v>
      </c>
      <c r="L130" s="104">
        <v>0</v>
      </c>
      <c r="M130" s="103">
        <f>62.2</f>
        <v>62.2</v>
      </c>
      <c r="N130" s="102">
        <f>SUM(K130:M130)</f>
        <v>62.2</v>
      </c>
      <c r="O130" s="104">
        <v>0</v>
      </c>
      <c r="P130" s="104">
        <v>0</v>
      </c>
      <c r="Q130" s="177">
        <f t="shared" si="23"/>
        <v>62.2</v>
      </c>
    </row>
    <row r="131" spans="1:17" x14ac:dyDescent="0.25">
      <c r="A131" s="54" t="s">
        <v>78</v>
      </c>
      <c r="B131" s="53" t="s">
        <v>36</v>
      </c>
      <c r="C131" s="109">
        <v>2265</v>
      </c>
      <c r="D131" s="109">
        <v>0</v>
      </c>
      <c r="E131" s="105">
        <v>337</v>
      </c>
      <c r="F131" s="104">
        <f t="shared" si="24"/>
        <v>2602</v>
      </c>
      <c r="G131" s="102">
        <v>0</v>
      </c>
      <c r="H131" s="102">
        <f t="shared" si="25"/>
        <v>2602</v>
      </c>
      <c r="I131" s="102">
        <v>78</v>
      </c>
      <c r="J131" s="102">
        <v>0</v>
      </c>
      <c r="K131" s="147">
        <f t="shared" si="27"/>
        <v>2680</v>
      </c>
      <c r="L131" s="104">
        <v>0</v>
      </c>
      <c r="M131" s="103">
        <v>0</v>
      </c>
      <c r="N131" s="102">
        <f t="shared" si="26"/>
        <v>2680</v>
      </c>
      <c r="O131" s="104">
        <v>0</v>
      </c>
      <c r="P131" s="104">
        <v>0</v>
      </c>
      <c r="Q131" s="177">
        <f t="shared" si="23"/>
        <v>2680</v>
      </c>
    </row>
    <row r="132" spans="1:17" x14ac:dyDescent="0.25">
      <c r="A132" s="54" t="s">
        <v>79</v>
      </c>
      <c r="B132" s="53" t="s">
        <v>36</v>
      </c>
      <c r="C132" s="109">
        <v>2082</v>
      </c>
      <c r="D132" s="135">
        <v>0</v>
      </c>
      <c r="E132" s="105">
        <v>600</v>
      </c>
      <c r="F132" s="104">
        <f t="shared" si="24"/>
        <v>2682</v>
      </c>
      <c r="G132" s="104">
        <v>0</v>
      </c>
      <c r="H132" s="104">
        <f t="shared" si="25"/>
        <v>2682</v>
      </c>
      <c r="I132" s="104">
        <v>0</v>
      </c>
      <c r="J132" s="104">
        <v>0</v>
      </c>
      <c r="K132" s="147">
        <f t="shared" si="27"/>
        <v>2682</v>
      </c>
      <c r="L132" s="104">
        <v>0</v>
      </c>
      <c r="M132" s="103">
        <v>0</v>
      </c>
      <c r="N132" s="102">
        <f t="shared" si="26"/>
        <v>2682</v>
      </c>
      <c r="O132" s="104">
        <v>0</v>
      </c>
      <c r="P132" s="104">
        <v>0</v>
      </c>
      <c r="Q132" s="177">
        <f t="shared" si="23"/>
        <v>2682</v>
      </c>
    </row>
    <row r="133" spans="1:17" x14ac:dyDescent="0.25">
      <c r="A133" s="58" t="s">
        <v>102</v>
      </c>
      <c r="B133" s="59" t="s">
        <v>36</v>
      </c>
      <c r="C133" s="109">
        <v>0</v>
      </c>
      <c r="D133" s="135"/>
      <c r="E133" s="105"/>
      <c r="F133" s="104">
        <v>0</v>
      </c>
      <c r="G133" s="104">
        <f>217</f>
        <v>217</v>
      </c>
      <c r="H133" s="104">
        <f>SUM(F133:G133)</f>
        <v>217</v>
      </c>
      <c r="I133" s="104">
        <v>0</v>
      </c>
      <c r="J133" s="104">
        <v>0</v>
      </c>
      <c r="K133" s="147">
        <f t="shared" si="27"/>
        <v>217</v>
      </c>
      <c r="L133" s="104">
        <v>0</v>
      </c>
      <c r="M133" s="103">
        <v>0</v>
      </c>
      <c r="N133" s="102">
        <f t="shared" si="26"/>
        <v>217</v>
      </c>
      <c r="O133" s="104">
        <v>0</v>
      </c>
      <c r="P133" s="104">
        <v>0</v>
      </c>
      <c r="Q133" s="177">
        <f t="shared" si="23"/>
        <v>217</v>
      </c>
    </row>
    <row r="134" spans="1:17" x14ac:dyDescent="0.25">
      <c r="A134" s="58" t="s">
        <v>370</v>
      </c>
      <c r="B134" s="59" t="s">
        <v>36</v>
      </c>
      <c r="C134" s="109">
        <v>0</v>
      </c>
      <c r="D134" s="135"/>
      <c r="E134" s="105"/>
      <c r="F134" s="104"/>
      <c r="G134" s="104"/>
      <c r="H134" s="104"/>
      <c r="I134" s="104"/>
      <c r="J134" s="104"/>
      <c r="K134" s="147">
        <f>226</f>
        <v>226</v>
      </c>
      <c r="L134" s="104">
        <v>0</v>
      </c>
      <c r="M134" s="103">
        <v>0</v>
      </c>
      <c r="N134" s="102">
        <f>SUM(K134:M134)</f>
        <v>226</v>
      </c>
      <c r="O134" s="104">
        <v>0</v>
      </c>
      <c r="P134" s="104">
        <v>0</v>
      </c>
      <c r="Q134" s="177">
        <f t="shared" si="23"/>
        <v>226</v>
      </c>
    </row>
    <row r="135" spans="1:17" x14ac:dyDescent="0.25">
      <c r="A135" s="58" t="s">
        <v>80</v>
      </c>
      <c r="B135" s="59" t="s">
        <v>36</v>
      </c>
      <c r="C135" s="109">
        <v>2658</v>
      </c>
      <c r="D135" s="135">
        <v>0</v>
      </c>
      <c r="E135" s="105">
        <v>0</v>
      </c>
      <c r="F135" s="104">
        <f t="shared" si="24"/>
        <v>2658</v>
      </c>
      <c r="G135" s="104">
        <v>0</v>
      </c>
      <c r="H135" s="104">
        <f t="shared" si="25"/>
        <v>2658</v>
      </c>
      <c r="I135" s="104">
        <v>0</v>
      </c>
      <c r="J135" s="104">
        <v>0</v>
      </c>
      <c r="K135" s="147">
        <f t="shared" si="27"/>
        <v>2658</v>
      </c>
      <c r="L135" s="104">
        <v>0</v>
      </c>
      <c r="M135" s="103">
        <v>0</v>
      </c>
      <c r="N135" s="102">
        <f t="shared" si="26"/>
        <v>2658</v>
      </c>
      <c r="O135" s="104">
        <v>0</v>
      </c>
      <c r="P135" s="104">
        <v>0</v>
      </c>
      <c r="Q135" s="177">
        <f t="shared" si="23"/>
        <v>2658</v>
      </c>
    </row>
    <row r="136" spans="1:17" ht="15.75" customHeight="1" x14ac:dyDescent="0.25">
      <c r="A136" s="58" t="s">
        <v>81</v>
      </c>
      <c r="B136" s="59" t="s">
        <v>36</v>
      </c>
      <c r="C136" s="109">
        <v>21688</v>
      </c>
      <c r="D136" s="135">
        <v>0</v>
      </c>
      <c r="E136" s="105">
        <v>0</v>
      </c>
      <c r="F136" s="104">
        <f t="shared" si="24"/>
        <v>21688</v>
      </c>
      <c r="G136" s="104">
        <v>0</v>
      </c>
      <c r="H136" s="104">
        <f t="shared" si="25"/>
        <v>21688</v>
      </c>
      <c r="I136" s="104">
        <v>0</v>
      </c>
      <c r="J136" s="104">
        <v>0</v>
      </c>
      <c r="K136" s="147">
        <f t="shared" si="27"/>
        <v>21688</v>
      </c>
      <c r="L136" s="104">
        <f>40</f>
        <v>40</v>
      </c>
      <c r="M136" s="103">
        <v>0</v>
      </c>
      <c r="N136" s="102">
        <f t="shared" si="26"/>
        <v>21728</v>
      </c>
      <c r="O136" s="104">
        <v>0</v>
      </c>
      <c r="P136" s="104">
        <v>0</v>
      </c>
      <c r="Q136" s="177">
        <f t="shared" si="23"/>
        <v>21728</v>
      </c>
    </row>
    <row r="137" spans="1:17" ht="15.75" customHeight="1" x14ac:dyDescent="0.25">
      <c r="A137" s="58" t="s">
        <v>344</v>
      </c>
      <c r="B137" s="59" t="s">
        <v>36</v>
      </c>
      <c r="C137" s="109">
        <v>0</v>
      </c>
      <c r="D137" s="135"/>
      <c r="E137" s="105"/>
      <c r="F137" s="104"/>
      <c r="G137" s="104"/>
      <c r="H137" s="104">
        <f>1829</f>
        <v>1829</v>
      </c>
      <c r="I137" s="104">
        <v>0</v>
      </c>
      <c r="J137" s="104">
        <v>0</v>
      </c>
      <c r="K137" s="147">
        <f t="shared" si="27"/>
        <v>1829</v>
      </c>
      <c r="L137" s="104">
        <v>0</v>
      </c>
      <c r="M137" s="103">
        <v>0</v>
      </c>
      <c r="N137" s="102">
        <f t="shared" si="26"/>
        <v>1829</v>
      </c>
      <c r="O137" s="104">
        <v>0</v>
      </c>
      <c r="P137" s="104">
        <v>0</v>
      </c>
      <c r="Q137" s="177">
        <f t="shared" si="23"/>
        <v>1829</v>
      </c>
    </row>
    <row r="138" spans="1:17" ht="15.75" customHeight="1" x14ac:dyDescent="0.25">
      <c r="A138" s="58" t="s">
        <v>327</v>
      </c>
      <c r="B138" s="59" t="s">
        <v>36</v>
      </c>
      <c r="C138" s="109">
        <v>0</v>
      </c>
      <c r="D138" s="135"/>
      <c r="E138" s="105"/>
      <c r="F138" s="104">
        <v>0</v>
      </c>
      <c r="G138" s="104">
        <f>15</f>
        <v>15</v>
      </c>
      <c r="H138" s="104">
        <f>SUM(F138:G138)</f>
        <v>15</v>
      </c>
      <c r="I138" s="104">
        <v>0</v>
      </c>
      <c r="J138" s="104">
        <v>0</v>
      </c>
      <c r="K138" s="105">
        <f t="shared" si="27"/>
        <v>15</v>
      </c>
      <c r="L138" s="104">
        <v>0</v>
      </c>
      <c r="M138" s="103">
        <v>0</v>
      </c>
      <c r="N138" s="102">
        <f t="shared" si="26"/>
        <v>15</v>
      </c>
      <c r="O138" s="104">
        <v>0</v>
      </c>
      <c r="P138" s="104">
        <v>0</v>
      </c>
      <c r="Q138" s="177">
        <f t="shared" si="23"/>
        <v>15</v>
      </c>
    </row>
    <row r="139" spans="1:17" ht="38.25" x14ac:dyDescent="0.25">
      <c r="A139" s="60" t="s">
        <v>345</v>
      </c>
      <c r="B139" s="59" t="s">
        <v>36</v>
      </c>
      <c r="C139" s="109">
        <v>0</v>
      </c>
      <c r="D139" s="135"/>
      <c r="E139" s="105"/>
      <c r="F139" s="104"/>
      <c r="G139" s="104"/>
      <c r="H139" s="104">
        <v>0</v>
      </c>
      <c r="I139" s="104">
        <v>0</v>
      </c>
      <c r="J139" s="104">
        <f>23</f>
        <v>23</v>
      </c>
      <c r="K139" s="103">
        <f>SUM(H139:J139)</f>
        <v>23</v>
      </c>
      <c r="L139" s="104">
        <v>0</v>
      </c>
      <c r="M139" s="103">
        <v>0</v>
      </c>
      <c r="N139" s="104">
        <f t="shared" si="26"/>
        <v>23</v>
      </c>
      <c r="O139" s="104">
        <v>0</v>
      </c>
      <c r="P139" s="104">
        <v>0</v>
      </c>
      <c r="Q139" s="177">
        <f t="shared" ref="Q139:Q202" si="28">SUM(N139:P139)</f>
        <v>23</v>
      </c>
    </row>
    <row r="140" spans="1:17" ht="38.25" x14ac:dyDescent="0.25">
      <c r="A140" s="60" t="s">
        <v>346</v>
      </c>
      <c r="B140" s="59" t="s">
        <v>36</v>
      </c>
      <c r="C140" s="135">
        <v>0</v>
      </c>
      <c r="D140" s="135"/>
      <c r="E140" s="105"/>
      <c r="F140" s="104"/>
      <c r="G140" s="104"/>
      <c r="H140" s="104">
        <v>0</v>
      </c>
      <c r="I140" s="104">
        <v>0</v>
      </c>
      <c r="J140" s="104">
        <f>48</f>
        <v>48</v>
      </c>
      <c r="K140" s="103">
        <f>SUM(H140:J140)</f>
        <v>48</v>
      </c>
      <c r="L140" s="104">
        <v>0</v>
      </c>
      <c r="M140" s="103">
        <v>0</v>
      </c>
      <c r="N140" s="102">
        <f t="shared" si="26"/>
        <v>48</v>
      </c>
      <c r="O140" s="104">
        <v>0</v>
      </c>
      <c r="P140" s="104">
        <v>0</v>
      </c>
      <c r="Q140" s="177">
        <f t="shared" si="28"/>
        <v>48</v>
      </c>
    </row>
    <row r="141" spans="1:17" x14ac:dyDescent="0.25">
      <c r="A141" s="60" t="s">
        <v>82</v>
      </c>
      <c r="B141" s="59" t="s">
        <v>36</v>
      </c>
      <c r="C141" s="135">
        <v>26531</v>
      </c>
      <c r="D141" s="135"/>
      <c r="E141" s="105"/>
      <c r="F141" s="104"/>
      <c r="G141" s="104"/>
      <c r="H141" s="104">
        <v>26531</v>
      </c>
      <c r="I141" s="104">
        <v>0</v>
      </c>
      <c r="J141" s="104">
        <v>0</v>
      </c>
      <c r="K141" s="103">
        <f>SUM(H141:J141)</f>
        <v>26531</v>
      </c>
      <c r="L141" s="104">
        <v>0</v>
      </c>
      <c r="M141" s="104">
        <v>0</v>
      </c>
      <c r="N141" s="102">
        <f t="shared" si="26"/>
        <v>26531</v>
      </c>
      <c r="O141" s="104">
        <v>0</v>
      </c>
      <c r="P141" s="104">
        <v>0</v>
      </c>
      <c r="Q141" s="177">
        <f t="shared" si="28"/>
        <v>26531</v>
      </c>
    </row>
    <row r="142" spans="1:17" ht="37.5" customHeight="1" x14ac:dyDescent="0.25">
      <c r="A142" s="61" t="s">
        <v>287</v>
      </c>
      <c r="B142" s="53" t="s">
        <v>36</v>
      </c>
      <c r="C142" s="161">
        <v>0</v>
      </c>
      <c r="D142" s="109">
        <v>0</v>
      </c>
      <c r="E142" s="104">
        <v>1400</v>
      </c>
      <c r="F142" s="104">
        <f t="shared" si="24"/>
        <v>1400</v>
      </c>
      <c r="G142" s="104">
        <v>0</v>
      </c>
      <c r="H142" s="104">
        <f t="shared" si="25"/>
        <v>1400</v>
      </c>
      <c r="I142" s="104">
        <v>0</v>
      </c>
      <c r="J142" s="104">
        <v>0</v>
      </c>
      <c r="K142" s="104">
        <f t="shared" si="27"/>
        <v>1400</v>
      </c>
      <c r="L142" s="104">
        <v>0</v>
      </c>
      <c r="M142" s="104">
        <v>0</v>
      </c>
      <c r="N142" s="104">
        <f t="shared" si="26"/>
        <v>1400</v>
      </c>
      <c r="O142" s="114">
        <v>0</v>
      </c>
      <c r="P142" s="104">
        <v>0</v>
      </c>
      <c r="Q142" s="177">
        <f t="shared" si="28"/>
        <v>1400</v>
      </c>
    </row>
    <row r="143" spans="1:17" ht="37.5" customHeight="1" x14ac:dyDescent="0.25">
      <c r="A143" s="25" t="s">
        <v>83</v>
      </c>
      <c r="B143" s="158"/>
      <c r="C143" s="205">
        <v>9000</v>
      </c>
      <c r="D143" s="205">
        <f>-2223.7</f>
        <v>-2223.6999999999998</v>
      </c>
      <c r="E143" s="137">
        <v>82.59</v>
      </c>
      <c r="F143" s="108">
        <f t="shared" si="24"/>
        <v>6858.89</v>
      </c>
      <c r="G143" s="108">
        <v>0</v>
      </c>
      <c r="H143" s="108">
        <f t="shared" si="25"/>
        <v>6858.89</v>
      </c>
      <c r="I143" s="108">
        <v>0</v>
      </c>
      <c r="J143" s="140">
        <v>0</v>
      </c>
      <c r="K143" s="108">
        <f t="shared" si="27"/>
        <v>6858.89</v>
      </c>
      <c r="L143" s="108">
        <f>583.83</f>
        <v>583.83000000000004</v>
      </c>
      <c r="M143" s="108">
        <f>-1663.62</f>
        <v>-1663.62</v>
      </c>
      <c r="N143" s="108">
        <f t="shared" si="26"/>
        <v>5779.1</v>
      </c>
      <c r="O143" s="144">
        <v>0</v>
      </c>
      <c r="P143" s="108">
        <v>0</v>
      </c>
      <c r="Q143" s="170">
        <f t="shared" si="28"/>
        <v>5779.1</v>
      </c>
    </row>
    <row r="144" spans="1:17" ht="16.5" customHeight="1" x14ac:dyDescent="0.25">
      <c r="A144" s="25" t="s">
        <v>376</v>
      </c>
      <c r="B144" s="158" t="s">
        <v>84</v>
      </c>
      <c r="C144" s="205">
        <v>0</v>
      </c>
      <c r="D144" s="206">
        <f>173.63</f>
        <v>173.63</v>
      </c>
      <c r="E144" s="138">
        <v>0</v>
      </c>
      <c r="F144" s="139">
        <f t="shared" si="24"/>
        <v>173.63</v>
      </c>
      <c r="G144" s="139">
        <v>0</v>
      </c>
      <c r="H144" s="139">
        <f t="shared" si="25"/>
        <v>173.63</v>
      </c>
      <c r="I144" s="139">
        <v>0</v>
      </c>
      <c r="J144" s="138">
        <v>0</v>
      </c>
      <c r="K144" s="108">
        <f t="shared" si="27"/>
        <v>173.63</v>
      </c>
      <c r="L144" s="108">
        <f>-15.79</f>
        <v>-15.79</v>
      </c>
      <c r="M144" s="108">
        <f>177.55</f>
        <v>177.55</v>
      </c>
      <c r="N144" s="108">
        <f t="shared" si="26"/>
        <v>335.39</v>
      </c>
      <c r="O144" s="144">
        <v>0</v>
      </c>
      <c r="P144" s="108">
        <v>0</v>
      </c>
      <c r="Q144" s="170">
        <f t="shared" si="28"/>
        <v>335.39</v>
      </c>
    </row>
    <row r="145" spans="1:17" ht="16.5" customHeight="1" x14ac:dyDescent="0.25">
      <c r="A145" s="25" t="s">
        <v>85</v>
      </c>
      <c r="B145" s="158" t="s">
        <v>84</v>
      </c>
      <c r="C145" s="205">
        <v>0</v>
      </c>
      <c r="D145" s="206">
        <f>114.47</f>
        <v>114.47</v>
      </c>
      <c r="E145" s="138">
        <v>0</v>
      </c>
      <c r="F145" s="139">
        <f t="shared" si="24"/>
        <v>114.47</v>
      </c>
      <c r="G145" s="138">
        <v>0</v>
      </c>
      <c r="H145" s="139">
        <f t="shared" si="25"/>
        <v>114.47</v>
      </c>
      <c r="I145" s="139">
        <v>0</v>
      </c>
      <c r="J145" s="138">
        <v>0</v>
      </c>
      <c r="K145" s="108">
        <f t="shared" si="27"/>
        <v>114.47</v>
      </c>
      <c r="L145" s="108">
        <f>-55.94</f>
        <v>-55.94</v>
      </c>
      <c r="M145" s="108">
        <f>85.12</f>
        <v>85.12</v>
      </c>
      <c r="N145" s="108">
        <f t="shared" si="26"/>
        <v>143.65</v>
      </c>
      <c r="O145" s="144">
        <v>0</v>
      </c>
      <c r="P145" s="108">
        <v>0</v>
      </c>
      <c r="Q145" s="170">
        <f t="shared" si="28"/>
        <v>143.65</v>
      </c>
    </row>
    <row r="146" spans="1:17" ht="16.5" customHeight="1" x14ac:dyDescent="0.25">
      <c r="A146" s="25" t="s">
        <v>86</v>
      </c>
      <c r="B146" s="158" t="s">
        <v>84</v>
      </c>
      <c r="C146" s="205">
        <v>0</v>
      </c>
      <c r="D146" s="185">
        <f>182.99</f>
        <v>182.99</v>
      </c>
      <c r="E146" s="156">
        <v>0</v>
      </c>
      <c r="F146" s="157">
        <f t="shared" si="24"/>
        <v>182.99</v>
      </c>
      <c r="G146" s="156">
        <v>0</v>
      </c>
      <c r="H146" s="156">
        <f t="shared" si="25"/>
        <v>182.99</v>
      </c>
      <c r="I146" s="156">
        <v>0</v>
      </c>
      <c r="J146" s="156">
        <v>0</v>
      </c>
      <c r="K146" s="108">
        <f t="shared" si="27"/>
        <v>182.99</v>
      </c>
      <c r="L146" s="108">
        <f>-41.37</f>
        <v>-41.37</v>
      </c>
      <c r="M146" s="108">
        <f>167.24</f>
        <v>167.24</v>
      </c>
      <c r="N146" s="108">
        <f t="shared" si="26"/>
        <v>308.86</v>
      </c>
      <c r="O146" s="144">
        <v>0</v>
      </c>
      <c r="P146" s="108">
        <v>0</v>
      </c>
      <c r="Q146" s="170">
        <f t="shared" si="28"/>
        <v>308.86</v>
      </c>
    </row>
    <row r="147" spans="1:17" ht="16.5" customHeight="1" x14ac:dyDescent="0.25">
      <c r="A147" s="25" t="s">
        <v>87</v>
      </c>
      <c r="B147" s="158" t="s">
        <v>84</v>
      </c>
      <c r="C147" s="207">
        <v>0</v>
      </c>
      <c r="D147" s="205">
        <f>407.87</f>
        <v>407.87</v>
      </c>
      <c r="E147" s="209">
        <v>0</v>
      </c>
      <c r="F147" s="209">
        <f t="shared" si="24"/>
        <v>407.87</v>
      </c>
      <c r="G147" s="209">
        <v>0</v>
      </c>
      <c r="H147" s="209">
        <f t="shared" si="25"/>
        <v>407.87</v>
      </c>
      <c r="I147" s="209">
        <v>0</v>
      </c>
      <c r="J147" s="209">
        <v>0</v>
      </c>
      <c r="K147" s="144">
        <f t="shared" si="27"/>
        <v>407.87</v>
      </c>
      <c r="L147" s="108">
        <f>-90.54</f>
        <v>-90.54</v>
      </c>
      <c r="M147" s="108">
        <f>229.13</f>
        <v>229.13</v>
      </c>
      <c r="N147" s="108">
        <f t="shared" si="26"/>
        <v>546.46</v>
      </c>
      <c r="O147" s="144">
        <v>0</v>
      </c>
      <c r="P147" s="108">
        <v>0</v>
      </c>
      <c r="Q147" s="170">
        <f t="shared" si="28"/>
        <v>546.46</v>
      </c>
    </row>
    <row r="148" spans="1:17" ht="16.5" customHeight="1" x14ac:dyDescent="0.25">
      <c r="A148" s="25" t="s">
        <v>88</v>
      </c>
      <c r="B148" s="158" t="s">
        <v>84</v>
      </c>
      <c r="C148" s="207">
        <v>0</v>
      </c>
      <c r="D148" s="205">
        <f>285.02</f>
        <v>285.02</v>
      </c>
      <c r="E148" s="209">
        <v>0</v>
      </c>
      <c r="F148" s="209">
        <f t="shared" si="24"/>
        <v>285.02</v>
      </c>
      <c r="G148" s="209">
        <v>0</v>
      </c>
      <c r="H148" s="209">
        <f t="shared" si="25"/>
        <v>285.02</v>
      </c>
      <c r="I148" s="209">
        <v>0</v>
      </c>
      <c r="J148" s="209">
        <v>0</v>
      </c>
      <c r="K148" s="144">
        <f t="shared" si="27"/>
        <v>285.02</v>
      </c>
      <c r="L148" s="108">
        <f>-60.53</f>
        <v>-60.53</v>
      </c>
      <c r="M148" s="108">
        <f>200.99</f>
        <v>200.99</v>
      </c>
      <c r="N148" s="108">
        <f t="shared" si="26"/>
        <v>425.48</v>
      </c>
      <c r="O148" s="144">
        <v>0</v>
      </c>
      <c r="P148" s="108">
        <v>0</v>
      </c>
      <c r="Q148" s="170">
        <f t="shared" si="28"/>
        <v>425.48</v>
      </c>
    </row>
    <row r="149" spans="1:17" ht="16.5" customHeight="1" x14ac:dyDescent="0.25">
      <c r="A149" s="25" t="s">
        <v>89</v>
      </c>
      <c r="B149" s="158" t="s">
        <v>84</v>
      </c>
      <c r="C149" s="159">
        <v>0</v>
      </c>
      <c r="D149" s="205">
        <f>187.67</f>
        <v>187.67</v>
      </c>
      <c r="E149" s="209">
        <v>0</v>
      </c>
      <c r="F149" s="209">
        <f t="shared" si="24"/>
        <v>187.67</v>
      </c>
      <c r="G149" s="209">
        <v>0</v>
      </c>
      <c r="H149" s="209">
        <f t="shared" si="25"/>
        <v>187.67</v>
      </c>
      <c r="I149" s="209">
        <v>0</v>
      </c>
      <c r="J149" s="209">
        <v>0</v>
      </c>
      <c r="K149" s="144">
        <f t="shared" si="27"/>
        <v>187.67</v>
      </c>
      <c r="L149" s="108">
        <f>-23.26</f>
        <v>-23.26</v>
      </c>
      <c r="M149" s="108">
        <f>146.46</f>
        <v>146.46</v>
      </c>
      <c r="N149" s="108">
        <f t="shared" si="26"/>
        <v>310.87</v>
      </c>
      <c r="O149" s="144">
        <v>0</v>
      </c>
      <c r="P149" s="108">
        <v>0</v>
      </c>
      <c r="Q149" s="170">
        <f t="shared" si="28"/>
        <v>310.87</v>
      </c>
    </row>
    <row r="150" spans="1:17" ht="16.5" customHeight="1" x14ac:dyDescent="0.25">
      <c r="A150" s="25" t="s">
        <v>90</v>
      </c>
      <c r="B150" s="158" t="s">
        <v>84</v>
      </c>
      <c r="C150" s="159">
        <v>0</v>
      </c>
      <c r="D150" s="205">
        <f>306.78</f>
        <v>306.77999999999997</v>
      </c>
      <c r="E150" s="209">
        <v>0</v>
      </c>
      <c r="F150" s="209">
        <f t="shared" si="24"/>
        <v>306.77999999999997</v>
      </c>
      <c r="G150" s="209">
        <v>0</v>
      </c>
      <c r="H150" s="209">
        <f t="shared" si="25"/>
        <v>306.77999999999997</v>
      </c>
      <c r="I150" s="209">
        <v>0</v>
      </c>
      <c r="J150" s="209">
        <v>0</v>
      </c>
      <c r="K150" s="144">
        <f t="shared" si="27"/>
        <v>306.77999999999997</v>
      </c>
      <c r="L150" s="108">
        <f>-75.33</f>
        <v>-75.33</v>
      </c>
      <c r="M150" s="108">
        <f>183.73</f>
        <v>183.73</v>
      </c>
      <c r="N150" s="108">
        <f t="shared" si="26"/>
        <v>415.17999999999995</v>
      </c>
      <c r="O150" s="144">
        <v>0</v>
      </c>
      <c r="P150" s="108">
        <v>0</v>
      </c>
      <c r="Q150" s="170">
        <f t="shared" si="28"/>
        <v>415.17999999999995</v>
      </c>
    </row>
    <row r="151" spans="1:17" ht="16.5" customHeight="1" x14ac:dyDescent="0.25">
      <c r="A151" s="25" t="s">
        <v>91</v>
      </c>
      <c r="B151" s="158" t="s">
        <v>84</v>
      </c>
      <c r="C151" s="159">
        <v>0</v>
      </c>
      <c r="D151" s="205">
        <f>398.76</f>
        <v>398.76</v>
      </c>
      <c r="E151" s="209">
        <v>0</v>
      </c>
      <c r="F151" s="209">
        <f t="shared" si="24"/>
        <v>398.76</v>
      </c>
      <c r="G151" s="209">
        <v>0</v>
      </c>
      <c r="H151" s="209">
        <f t="shared" si="25"/>
        <v>398.76</v>
      </c>
      <c r="I151" s="209">
        <v>0</v>
      </c>
      <c r="J151" s="209">
        <v>0</v>
      </c>
      <c r="K151" s="144">
        <f t="shared" si="27"/>
        <v>398.76</v>
      </c>
      <c r="L151" s="108">
        <f>-148.69</f>
        <v>-148.69</v>
      </c>
      <c r="M151" s="108">
        <f>310.47</f>
        <v>310.47000000000003</v>
      </c>
      <c r="N151" s="108">
        <f t="shared" si="26"/>
        <v>560.54</v>
      </c>
      <c r="O151" s="144">
        <v>0</v>
      </c>
      <c r="P151" s="108">
        <v>0</v>
      </c>
      <c r="Q151" s="170">
        <f t="shared" si="28"/>
        <v>560.54</v>
      </c>
    </row>
    <row r="152" spans="1:17" ht="17.25" customHeight="1" x14ac:dyDescent="0.25">
      <c r="A152" s="14" t="s">
        <v>92</v>
      </c>
      <c r="B152" s="192" t="s">
        <v>84</v>
      </c>
      <c r="C152" s="134">
        <v>0</v>
      </c>
      <c r="D152" s="193">
        <f>43.06</f>
        <v>43.06</v>
      </c>
      <c r="E152" s="147">
        <v>0</v>
      </c>
      <c r="F152" s="147">
        <f t="shared" si="24"/>
        <v>43.06</v>
      </c>
      <c r="G152" s="147">
        <v>0</v>
      </c>
      <c r="H152" s="147">
        <f t="shared" si="25"/>
        <v>43.06</v>
      </c>
      <c r="I152" s="147">
        <v>0</v>
      </c>
      <c r="J152" s="147">
        <v>0</v>
      </c>
      <c r="K152" s="155">
        <f t="shared" si="27"/>
        <v>43.06</v>
      </c>
      <c r="L152" s="102">
        <f>-19.48</f>
        <v>-19.48</v>
      </c>
      <c r="M152" s="102">
        <f>47.28</f>
        <v>47.28</v>
      </c>
      <c r="N152" s="102">
        <f t="shared" si="26"/>
        <v>70.86</v>
      </c>
      <c r="O152" s="155">
        <v>0</v>
      </c>
      <c r="P152" s="102">
        <v>0</v>
      </c>
      <c r="Q152" s="169">
        <f t="shared" si="28"/>
        <v>70.86</v>
      </c>
    </row>
    <row r="153" spans="1:17" ht="16.5" customHeight="1" x14ac:dyDescent="0.25">
      <c r="A153" s="25" t="s">
        <v>364</v>
      </c>
      <c r="B153" s="158" t="s">
        <v>84</v>
      </c>
      <c r="C153" s="159">
        <v>0</v>
      </c>
      <c r="D153" s="205">
        <f>19.89</f>
        <v>19.89</v>
      </c>
      <c r="E153" s="209">
        <v>0</v>
      </c>
      <c r="F153" s="209">
        <f t="shared" si="24"/>
        <v>19.89</v>
      </c>
      <c r="G153" s="209">
        <v>0</v>
      </c>
      <c r="H153" s="209">
        <f t="shared" si="25"/>
        <v>19.89</v>
      </c>
      <c r="I153" s="209">
        <v>0</v>
      </c>
      <c r="J153" s="209">
        <v>0</v>
      </c>
      <c r="K153" s="144">
        <f t="shared" si="27"/>
        <v>19.89</v>
      </c>
      <c r="L153" s="108">
        <f>-3.36</f>
        <v>-3.36</v>
      </c>
      <c r="M153" s="108">
        <f>13.09</f>
        <v>13.09</v>
      </c>
      <c r="N153" s="108">
        <f t="shared" si="26"/>
        <v>29.62</v>
      </c>
      <c r="O153" s="144">
        <v>0</v>
      </c>
      <c r="P153" s="108">
        <v>0</v>
      </c>
      <c r="Q153" s="170">
        <f t="shared" si="28"/>
        <v>29.62</v>
      </c>
    </row>
    <row r="154" spans="1:17" ht="16.5" customHeight="1" x14ac:dyDescent="0.25">
      <c r="A154" s="25" t="s">
        <v>93</v>
      </c>
      <c r="B154" s="158" t="s">
        <v>84</v>
      </c>
      <c r="C154" s="159">
        <v>0</v>
      </c>
      <c r="D154" s="205">
        <f>3.75</f>
        <v>3.75</v>
      </c>
      <c r="E154" s="209">
        <v>0</v>
      </c>
      <c r="F154" s="209">
        <f t="shared" si="24"/>
        <v>3.75</v>
      </c>
      <c r="G154" s="209">
        <v>0</v>
      </c>
      <c r="H154" s="209">
        <f t="shared" si="25"/>
        <v>3.75</v>
      </c>
      <c r="I154" s="209">
        <v>0</v>
      </c>
      <c r="J154" s="209">
        <v>0</v>
      </c>
      <c r="K154" s="144">
        <f t="shared" si="27"/>
        <v>3.75</v>
      </c>
      <c r="L154" s="108">
        <f>-0.77</f>
        <v>-0.77</v>
      </c>
      <c r="M154" s="108">
        <f>2.47</f>
        <v>2.4700000000000002</v>
      </c>
      <c r="N154" s="108">
        <f t="shared" si="26"/>
        <v>5.45</v>
      </c>
      <c r="O154" s="144">
        <v>0</v>
      </c>
      <c r="P154" s="108">
        <v>0</v>
      </c>
      <c r="Q154" s="170">
        <f t="shared" si="28"/>
        <v>5.45</v>
      </c>
    </row>
    <row r="155" spans="1:17" ht="16.5" customHeight="1" x14ac:dyDescent="0.25">
      <c r="A155" s="14" t="s">
        <v>94</v>
      </c>
      <c r="B155" s="192" t="s">
        <v>84</v>
      </c>
      <c r="C155" s="134">
        <v>0</v>
      </c>
      <c r="D155" s="193">
        <f>99.81</f>
        <v>99.81</v>
      </c>
      <c r="E155" s="147">
        <v>0</v>
      </c>
      <c r="F155" s="147">
        <f t="shared" si="24"/>
        <v>99.81</v>
      </c>
      <c r="G155" s="147">
        <v>0</v>
      </c>
      <c r="H155" s="147">
        <f t="shared" si="25"/>
        <v>99.81</v>
      </c>
      <c r="I155" s="147">
        <v>0</v>
      </c>
      <c r="J155" s="147">
        <v>0</v>
      </c>
      <c r="K155" s="155">
        <f t="shared" si="27"/>
        <v>99.81</v>
      </c>
      <c r="L155" s="102">
        <f>-48.77</f>
        <v>-48.77</v>
      </c>
      <c r="M155" s="102">
        <f>100.09</f>
        <v>100.09</v>
      </c>
      <c r="N155" s="102">
        <f t="shared" si="26"/>
        <v>151.13</v>
      </c>
      <c r="O155" s="155">
        <v>0</v>
      </c>
      <c r="P155" s="102">
        <v>0</v>
      </c>
      <c r="Q155" s="169">
        <f t="shared" si="28"/>
        <v>151.13</v>
      </c>
    </row>
    <row r="156" spans="1:17" ht="15" customHeight="1" x14ac:dyDescent="0.25">
      <c r="A156" s="57" t="s">
        <v>95</v>
      </c>
      <c r="B156" s="192" t="s">
        <v>36</v>
      </c>
      <c r="C156" s="134">
        <v>400</v>
      </c>
      <c r="D156" s="193">
        <v>0</v>
      </c>
      <c r="E156" s="103">
        <v>0</v>
      </c>
      <c r="F156" s="102">
        <f t="shared" si="24"/>
        <v>400</v>
      </c>
      <c r="G156" s="102">
        <v>0</v>
      </c>
      <c r="H156" s="102">
        <f t="shared" si="25"/>
        <v>400</v>
      </c>
      <c r="I156" s="102">
        <v>0</v>
      </c>
      <c r="J156" s="103">
        <v>0</v>
      </c>
      <c r="K156" s="102">
        <f t="shared" si="27"/>
        <v>400</v>
      </c>
      <c r="L156" s="102">
        <v>0</v>
      </c>
      <c r="M156" s="102">
        <v>0</v>
      </c>
      <c r="N156" s="102">
        <f t="shared" si="26"/>
        <v>400</v>
      </c>
      <c r="O156" s="102">
        <v>0</v>
      </c>
      <c r="P156" s="155">
        <v>0</v>
      </c>
      <c r="Q156" s="169">
        <f t="shared" si="28"/>
        <v>400</v>
      </c>
    </row>
    <row r="157" spans="1:17" ht="15" customHeight="1" x14ac:dyDescent="0.25">
      <c r="A157" s="17" t="s">
        <v>96</v>
      </c>
      <c r="B157" s="53" t="s">
        <v>36</v>
      </c>
      <c r="C157" s="161">
        <v>85</v>
      </c>
      <c r="D157" s="160">
        <v>0</v>
      </c>
      <c r="E157" s="105">
        <v>0</v>
      </c>
      <c r="F157" s="104">
        <f t="shared" si="24"/>
        <v>85</v>
      </c>
      <c r="G157" s="104">
        <v>0</v>
      </c>
      <c r="H157" s="104">
        <f t="shared" si="25"/>
        <v>85</v>
      </c>
      <c r="I157" s="104">
        <v>0</v>
      </c>
      <c r="J157" s="104">
        <v>0</v>
      </c>
      <c r="K157" s="155">
        <f t="shared" si="27"/>
        <v>85</v>
      </c>
      <c r="L157" s="104">
        <v>0</v>
      </c>
      <c r="M157" s="102">
        <v>0</v>
      </c>
      <c r="N157" s="102">
        <f t="shared" si="26"/>
        <v>85</v>
      </c>
      <c r="O157" s="104">
        <v>0</v>
      </c>
      <c r="P157" s="104">
        <v>0</v>
      </c>
      <c r="Q157" s="177">
        <f t="shared" si="28"/>
        <v>85</v>
      </c>
    </row>
    <row r="158" spans="1:17" ht="15" customHeight="1" x14ac:dyDescent="0.25">
      <c r="A158" s="17" t="s">
        <v>97</v>
      </c>
      <c r="B158" s="53" t="s">
        <v>98</v>
      </c>
      <c r="C158" s="161">
        <v>1350</v>
      </c>
      <c r="D158" s="160">
        <v>0</v>
      </c>
      <c r="E158" s="105">
        <v>0</v>
      </c>
      <c r="F158" s="104">
        <f t="shared" si="24"/>
        <v>1350</v>
      </c>
      <c r="G158" s="104">
        <v>0</v>
      </c>
      <c r="H158" s="104">
        <f t="shared" si="25"/>
        <v>1350</v>
      </c>
      <c r="I158" s="104">
        <v>0</v>
      </c>
      <c r="J158" s="104">
        <v>0</v>
      </c>
      <c r="K158" s="155">
        <f t="shared" si="27"/>
        <v>1350</v>
      </c>
      <c r="L158" s="114">
        <v>0</v>
      </c>
      <c r="M158" s="102">
        <v>0</v>
      </c>
      <c r="N158" s="102">
        <f t="shared" si="26"/>
        <v>1350</v>
      </c>
      <c r="O158" s="104">
        <v>0</v>
      </c>
      <c r="P158" s="104">
        <v>0</v>
      </c>
      <c r="Q158" s="177">
        <f t="shared" si="28"/>
        <v>1350</v>
      </c>
    </row>
    <row r="159" spans="1:17" ht="15" customHeight="1" x14ac:dyDescent="0.25">
      <c r="A159" s="17" t="s">
        <v>99</v>
      </c>
      <c r="B159" s="53" t="s">
        <v>98</v>
      </c>
      <c r="C159" s="109">
        <v>1900</v>
      </c>
      <c r="D159" s="161">
        <v>0</v>
      </c>
      <c r="E159" s="105">
        <v>0</v>
      </c>
      <c r="F159" s="104">
        <f t="shared" si="24"/>
        <v>1900</v>
      </c>
      <c r="G159" s="104">
        <v>0</v>
      </c>
      <c r="H159" s="104">
        <f t="shared" si="25"/>
        <v>1900</v>
      </c>
      <c r="I159" s="104">
        <v>0</v>
      </c>
      <c r="J159" s="104">
        <v>0</v>
      </c>
      <c r="K159" s="155">
        <f t="shared" si="27"/>
        <v>1900</v>
      </c>
      <c r="L159" s="114">
        <v>0</v>
      </c>
      <c r="M159" s="147">
        <v>0</v>
      </c>
      <c r="N159" s="102">
        <f t="shared" si="26"/>
        <v>1900</v>
      </c>
      <c r="O159" s="104">
        <v>0</v>
      </c>
      <c r="P159" s="104">
        <v>0</v>
      </c>
      <c r="Q159" s="177">
        <f t="shared" si="28"/>
        <v>1900</v>
      </c>
    </row>
    <row r="160" spans="1:17" ht="24" customHeight="1" x14ac:dyDescent="0.25">
      <c r="A160" s="17" t="s">
        <v>100</v>
      </c>
      <c r="B160" s="53" t="s">
        <v>98</v>
      </c>
      <c r="C160" s="109">
        <v>1750</v>
      </c>
      <c r="D160" s="161">
        <v>0</v>
      </c>
      <c r="E160" s="105">
        <v>0</v>
      </c>
      <c r="F160" s="104">
        <f t="shared" si="24"/>
        <v>1750</v>
      </c>
      <c r="G160" s="104">
        <v>0</v>
      </c>
      <c r="H160" s="104">
        <f t="shared" si="25"/>
        <v>1750</v>
      </c>
      <c r="I160" s="104">
        <v>0</v>
      </c>
      <c r="J160" s="104">
        <v>0</v>
      </c>
      <c r="K160" s="114">
        <f t="shared" si="27"/>
        <v>1750</v>
      </c>
      <c r="L160" s="114">
        <v>0</v>
      </c>
      <c r="M160" s="103">
        <v>0</v>
      </c>
      <c r="N160" s="102">
        <f t="shared" si="26"/>
        <v>1750</v>
      </c>
      <c r="O160" s="104">
        <v>0</v>
      </c>
      <c r="P160" s="104">
        <v>0</v>
      </c>
      <c r="Q160" s="177">
        <f t="shared" si="28"/>
        <v>1750</v>
      </c>
    </row>
    <row r="161" spans="1:17" ht="28.5" customHeight="1" x14ac:dyDescent="0.25">
      <c r="A161" s="33" t="s">
        <v>101</v>
      </c>
      <c r="B161" s="53" t="s">
        <v>36</v>
      </c>
      <c r="C161" s="109">
        <v>700</v>
      </c>
      <c r="D161" s="109">
        <v>0</v>
      </c>
      <c r="E161" s="105">
        <v>0</v>
      </c>
      <c r="F161" s="104">
        <f t="shared" si="24"/>
        <v>700</v>
      </c>
      <c r="G161" s="104">
        <v>0</v>
      </c>
      <c r="H161" s="104">
        <f t="shared" si="25"/>
        <v>700</v>
      </c>
      <c r="I161" s="104">
        <v>0</v>
      </c>
      <c r="J161" s="104">
        <v>0</v>
      </c>
      <c r="K161" s="147">
        <f t="shared" si="27"/>
        <v>700</v>
      </c>
      <c r="L161" s="104">
        <v>0</v>
      </c>
      <c r="M161" s="103">
        <v>0</v>
      </c>
      <c r="N161" s="102">
        <f t="shared" si="26"/>
        <v>700</v>
      </c>
      <c r="O161" s="104">
        <v>0</v>
      </c>
      <c r="P161" s="104">
        <v>0</v>
      </c>
      <c r="Q161" s="177">
        <f t="shared" si="28"/>
        <v>700</v>
      </c>
    </row>
    <row r="162" spans="1:17" ht="16.5" customHeight="1" x14ac:dyDescent="0.25">
      <c r="A162" s="17" t="s">
        <v>103</v>
      </c>
      <c r="B162" s="53" t="s">
        <v>36</v>
      </c>
      <c r="C162" s="109">
        <v>50</v>
      </c>
      <c r="D162" s="109">
        <v>0</v>
      </c>
      <c r="E162" s="105">
        <v>0</v>
      </c>
      <c r="F162" s="104">
        <f t="shared" si="24"/>
        <v>50</v>
      </c>
      <c r="G162" s="104">
        <v>0</v>
      </c>
      <c r="H162" s="104">
        <f t="shared" si="25"/>
        <v>50</v>
      </c>
      <c r="I162" s="104">
        <v>0</v>
      </c>
      <c r="J162" s="104">
        <v>0</v>
      </c>
      <c r="K162" s="147">
        <f t="shared" si="27"/>
        <v>50</v>
      </c>
      <c r="L162" s="104">
        <v>0</v>
      </c>
      <c r="M162" s="103">
        <v>0</v>
      </c>
      <c r="N162" s="102">
        <f t="shared" si="26"/>
        <v>50</v>
      </c>
      <c r="O162" s="104">
        <v>0</v>
      </c>
      <c r="P162" s="104">
        <v>0</v>
      </c>
      <c r="Q162" s="177">
        <f t="shared" si="28"/>
        <v>50</v>
      </c>
    </row>
    <row r="163" spans="1:17" ht="26.25" customHeight="1" x14ac:dyDescent="0.25">
      <c r="A163" s="17" t="s">
        <v>104</v>
      </c>
      <c r="B163" s="53" t="s">
        <v>36</v>
      </c>
      <c r="C163" s="109">
        <v>2000</v>
      </c>
      <c r="D163" s="109">
        <v>0</v>
      </c>
      <c r="E163" s="105">
        <v>0</v>
      </c>
      <c r="F163" s="104">
        <f t="shared" si="24"/>
        <v>2000</v>
      </c>
      <c r="G163" s="104">
        <v>0</v>
      </c>
      <c r="H163" s="104">
        <f t="shared" si="25"/>
        <v>2000</v>
      </c>
      <c r="I163" s="104">
        <v>0</v>
      </c>
      <c r="J163" s="104">
        <v>0</v>
      </c>
      <c r="K163" s="147">
        <f t="shared" si="27"/>
        <v>2000</v>
      </c>
      <c r="L163" s="104">
        <v>0</v>
      </c>
      <c r="M163" s="103">
        <v>0</v>
      </c>
      <c r="N163" s="102">
        <f t="shared" si="26"/>
        <v>2000</v>
      </c>
      <c r="O163" s="104">
        <v>0</v>
      </c>
      <c r="P163" s="104">
        <v>0</v>
      </c>
      <c r="Q163" s="177">
        <f t="shared" si="28"/>
        <v>2000</v>
      </c>
    </row>
    <row r="164" spans="1:17" ht="16.5" customHeight="1" x14ac:dyDescent="0.25">
      <c r="A164" s="17" t="s">
        <v>105</v>
      </c>
      <c r="B164" s="53" t="s">
        <v>36</v>
      </c>
      <c r="C164" s="109">
        <v>1700</v>
      </c>
      <c r="D164" s="109">
        <v>0</v>
      </c>
      <c r="E164" s="105">
        <v>0</v>
      </c>
      <c r="F164" s="104">
        <f t="shared" si="24"/>
        <v>1700</v>
      </c>
      <c r="G164" s="104">
        <v>0</v>
      </c>
      <c r="H164" s="104">
        <f t="shared" si="25"/>
        <v>1700</v>
      </c>
      <c r="I164" s="104">
        <v>0</v>
      </c>
      <c r="J164" s="104">
        <v>0</v>
      </c>
      <c r="K164" s="147">
        <f t="shared" si="27"/>
        <v>1700</v>
      </c>
      <c r="L164" s="104">
        <v>0</v>
      </c>
      <c r="M164" s="103">
        <v>0</v>
      </c>
      <c r="N164" s="102">
        <f t="shared" si="26"/>
        <v>1700</v>
      </c>
      <c r="O164" s="104">
        <v>0</v>
      </c>
      <c r="P164" s="104">
        <v>0</v>
      </c>
      <c r="Q164" s="177">
        <f t="shared" si="28"/>
        <v>1700</v>
      </c>
    </row>
    <row r="165" spans="1:17" ht="26.25" customHeight="1" x14ac:dyDescent="0.25">
      <c r="A165" s="17" t="s">
        <v>106</v>
      </c>
      <c r="B165" s="53" t="s">
        <v>36</v>
      </c>
      <c r="C165" s="109">
        <v>85</v>
      </c>
      <c r="D165" s="109">
        <v>0</v>
      </c>
      <c r="E165" s="105">
        <v>0</v>
      </c>
      <c r="F165" s="104">
        <f t="shared" si="24"/>
        <v>85</v>
      </c>
      <c r="G165" s="104">
        <v>0</v>
      </c>
      <c r="H165" s="104">
        <f t="shared" si="25"/>
        <v>85</v>
      </c>
      <c r="I165" s="104">
        <v>0</v>
      </c>
      <c r="J165" s="104">
        <v>0</v>
      </c>
      <c r="K165" s="147">
        <f t="shared" si="27"/>
        <v>85</v>
      </c>
      <c r="L165" s="104">
        <v>0</v>
      </c>
      <c r="M165" s="103">
        <v>0</v>
      </c>
      <c r="N165" s="102">
        <f t="shared" si="26"/>
        <v>85</v>
      </c>
      <c r="O165" s="104">
        <v>0</v>
      </c>
      <c r="P165" s="104">
        <v>0</v>
      </c>
      <c r="Q165" s="177">
        <f t="shared" si="28"/>
        <v>85</v>
      </c>
    </row>
    <row r="166" spans="1:17" ht="16.5" customHeight="1" x14ac:dyDescent="0.25">
      <c r="A166" s="17" t="s">
        <v>107</v>
      </c>
      <c r="B166" s="53" t="s">
        <v>36</v>
      </c>
      <c r="C166" s="109">
        <v>80</v>
      </c>
      <c r="D166" s="109">
        <v>0</v>
      </c>
      <c r="E166" s="105">
        <v>0</v>
      </c>
      <c r="F166" s="104">
        <f t="shared" si="24"/>
        <v>80</v>
      </c>
      <c r="G166" s="104">
        <v>0</v>
      </c>
      <c r="H166" s="104">
        <f t="shared" si="25"/>
        <v>80</v>
      </c>
      <c r="I166" s="104">
        <v>0</v>
      </c>
      <c r="J166" s="104">
        <v>0</v>
      </c>
      <c r="K166" s="147">
        <f t="shared" si="27"/>
        <v>80</v>
      </c>
      <c r="L166" s="104">
        <v>0</v>
      </c>
      <c r="M166" s="103">
        <v>0</v>
      </c>
      <c r="N166" s="102">
        <f t="shared" si="26"/>
        <v>80</v>
      </c>
      <c r="O166" s="104">
        <v>0</v>
      </c>
      <c r="P166" s="104">
        <v>0</v>
      </c>
      <c r="Q166" s="177">
        <f t="shared" si="28"/>
        <v>80</v>
      </c>
    </row>
    <row r="167" spans="1:17" ht="16.5" customHeight="1" x14ac:dyDescent="0.25">
      <c r="A167" s="17" t="s">
        <v>108</v>
      </c>
      <c r="B167" s="53" t="s">
        <v>36</v>
      </c>
      <c r="C167" s="109">
        <v>1570</v>
      </c>
      <c r="D167" s="109">
        <v>0</v>
      </c>
      <c r="E167" s="105">
        <v>0</v>
      </c>
      <c r="F167" s="104">
        <f t="shared" si="24"/>
        <v>1570</v>
      </c>
      <c r="G167" s="104">
        <v>0</v>
      </c>
      <c r="H167" s="104">
        <f t="shared" si="25"/>
        <v>1570</v>
      </c>
      <c r="I167" s="104">
        <v>0</v>
      </c>
      <c r="J167" s="104">
        <v>0</v>
      </c>
      <c r="K167" s="147">
        <f t="shared" si="27"/>
        <v>1570</v>
      </c>
      <c r="L167" s="104">
        <v>0</v>
      </c>
      <c r="M167" s="103">
        <v>0</v>
      </c>
      <c r="N167" s="102">
        <f t="shared" si="26"/>
        <v>1570</v>
      </c>
      <c r="O167" s="104">
        <v>0</v>
      </c>
      <c r="P167" s="104">
        <v>0</v>
      </c>
      <c r="Q167" s="177">
        <f t="shared" si="28"/>
        <v>1570</v>
      </c>
    </row>
    <row r="168" spans="1:17" ht="26.25" customHeight="1" x14ac:dyDescent="0.25">
      <c r="A168" s="17" t="s">
        <v>109</v>
      </c>
      <c r="B168" s="53" t="s">
        <v>36</v>
      </c>
      <c r="C168" s="109">
        <v>1570</v>
      </c>
      <c r="D168" s="109">
        <v>0</v>
      </c>
      <c r="E168" s="105">
        <v>0</v>
      </c>
      <c r="F168" s="104">
        <f t="shared" si="24"/>
        <v>1570</v>
      </c>
      <c r="G168" s="104">
        <v>0</v>
      </c>
      <c r="H168" s="104">
        <f t="shared" si="25"/>
        <v>1570</v>
      </c>
      <c r="I168" s="104">
        <v>0</v>
      </c>
      <c r="J168" s="104">
        <v>0</v>
      </c>
      <c r="K168" s="147">
        <f t="shared" si="27"/>
        <v>1570</v>
      </c>
      <c r="L168" s="104">
        <v>0</v>
      </c>
      <c r="M168" s="103">
        <v>0</v>
      </c>
      <c r="N168" s="102">
        <f t="shared" si="26"/>
        <v>1570</v>
      </c>
      <c r="O168" s="104">
        <v>0</v>
      </c>
      <c r="P168" s="104">
        <v>0</v>
      </c>
      <c r="Q168" s="177">
        <f t="shared" si="28"/>
        <v>1570</v>
      </c>
    </row>
    <row r="169" spans="1:17" ht="15" customHeight="1" x14ac:dyDescent="0.25">
      <c r="A169" s="17" t="s">
        <v>110</v>
      </c>
      <c r="B169" s="53" t="s">
        <v>36</v>
      </c>
      <c r="C169" s="109">
        <v>500</v>
      </c>
      <c r="D169" s="109">
        <v>0</v>
      </c>
      <c r="E169" s="105">
        <v>0</v>
      </c>
      <c r="F169" s="104">
        <f t="shared" si="24"/>
        <v>500</v>
      </c>
      <c r="G169" s="104">
        <v>0</v>
      </c>
      <c r="H169" s="104">
        <f t="shared" si="25"/>
        <v>500</v>
      </c>
      <c r="I169" s="104">
        <v>0</v>
      </c>
      <c r="J169" s="104">
        <v>0</v>
      </c>
      <c r="K169" s="147">
        <f t="shared" si="27"/>
        <v>500</v>
      </c>
      <c r="L169" s="104">
        <v>0</v>
      </c>
      <c r="M169" s="103">
        <v>0</v>
      </c>
      <c r="N169" s="102">
        <f t="shared" si="26"/>
        <v>500</v>
      </c>
      <c r="O169" s="104">
        <v>0</v>
      </c>
      <c r="P169" s="104">
        <v>0</v>
      </c>
      <c r="Q169" s="177">
        <f t="shared" si="28"/>
        <v>500</v>
      </c>
    </row>
    <row r="170" spans="1:17" ht="15" customHeight="1" x14ac:dyDescent="0.25">
      <c r="A170" s="54" t="s">
        <v>111</v>
      </c>
      <c r="B170" s="53" t="s">
        <v>112</v>
      </c>
      <c r="C170" s="109">
        <v>250</v>
      </c>
      <c r="D170" s="109">
        <v>0</v>
      </c>
      <c r="E170" s="105">
        <v>0</v>
      </c>
      <c r="F170" s="104">
        <f t="shared" si="24"/>
        <v>250</v>
      </c>
      <c r="G170" s="104">
        <v>0</v>
      </c>
      <c r="H170" s="104">
        <f t="shared" ref="H170:H246" si="29">SUM(F170:G170)</f>
        <v>250</v>
      </c>
      <c r="I170" s="104">
        <v>0</v>
      </c>
      <c r="J170" s="104">
        <v>0</v>
      </c>
      <c r="K170" s="147">
        <f t="shared" si="27"/>
        <v>250</v>
      </c>
      <c r="L170" s="104">
        <v>0</v>
      </c>
      <c r="M170" s="103">
        <v>0</v>
      </c>
      <c r="N170" s="102">
        <f t="shared" si="26"/>
        <v>250</v>
      </c>
      <c r="O170" s="104">
        <v>0</v>
      </c>
      <c r="P170" s="104">
        <v>0</v>
      </c>
      <c r="Q170" s="177">
        <f t="shared" si="28"/>
        <v>250</v>
      </c>
    </row>
    <row r="171" spans="1:17" ht="15.75" customHeight="1" x14ac:dyDescent="0.25">
      <c r="A171" s="54" t="s">
        <v>113</v>
      </c>
      <c r="B171" s="53" t="s">
        <v>114</v>
      </c>
      <c r="C171" s="109">
        <v>500</v>
      </c>
      <c r="D171" s="109">
        <v>0</v>
      </c>
      <c r="E171" s="105">
        <v>0</v>
      </c>
      <c r="F171" s="104">
        <f t="shared" si="24"/>
        <v>500</v>
      </c>
      <c r="G171" s="104">
        <v>0</v>
      </c>
      <c r="H171" s="104">
        <f t="shared" si="29"/>
        <v>500</v>
      </c>
      <c r="I171" s="104">
        <v>0</v>
      </c>
      <c r="J171" s="104">
        <v>0</v>
      </c>
      <c r="K171" s="147">
        <f t="shared" si="27"/>
        <v>500</v>
      </c>
      <c r="L171" s="104">
        <v>0</v>
      </c>
      <c r="M171" s="103">
        <v>0</v>
      </c>
      <c r="N171" s="102">
        <f t="shared" si="26"/>
        <v>500</v>
      </c>
      <c r="O171" s="104">
        <v>0</v>
      </c>
      <c r="P171" s="104">
        <v>0</v>
      </c>
      <c r="Q171" s="177">
        <f t="shared" si="28"/>
        <v>500</v>
      </c>
    </row>
    <row r="172" spans="1:17" ht="16.5" customHeight="1" x14ac:dyDescent="0.25">
      <c r="A172" s="54" t="s">
        <v>115</v>
      </c>
      <c r="B172" s="53" t="s">
        <v>116</v>
      </c>
      <c r="C172" s="109">
        <v>50</v>
      </c>
      <c r="D172" s="109">
        <v>0</v>
      </c>
      <c r="E172" s="105">
        <v>0</v>
      </c>
      <c r="F172" s="104">
        <f t="shared" si="24"/>
        <v>50</v>
      </c>
      <c r="G172" s="104">
        <v>0</v>
      </c>
      <c r="H172" s="104">
        <f t="shared" si="29"/>
        <v>50</v>
      </c>
      <c r="I172" s="104">
        <v>0</v>
      </c>
      <c r="J172" s="104">
        <v>0</v>
      </c>
      <c r="K172" s="147">
        <f t="shared" si="27"/>
        <v>50</v>
      </c>
      <c r="L172" s="104">
        <v>0</v>
      </c>
      <c r="M172" s="103">
        <v>0</v>
      </c>
      <c r="N172" s="102">
        <f t="shared" si="26"/>
        <v>50</v>
      </c>
      <c r="O172" s="104">
        <v>0</v>
      </c>
      <c r="P172" s="104">
        <v>0</v>
      </c>
      <c r="Q172" s="177">
        <f t="shared" si="28"/>
        <v>50</v>
      </c>
    </row>
    <row r="173" spans="1:17" x14ac:dyDescent="0.25">
      <c r="A173" s="54" t="s">
        <v>117</v>
      </c>
      <c r="B173" s="53" t="s">
        <v>114</v>
      </c>
      <c r="C173" s="109">
        <v>1200</v>
      </c>
      <c r="D173" s="109">
        <v>0</v>
      </c>
      <c r="E173" s="105">
        <v>0</v>
      </c>
      <c r="F173" s="104">
        <f t="shared" ref="F173:F178" si="30">SUM(C173:E173)</f>
        <v>1200</v>
      </c>
      <c r="G173" s="104">
        <v>0</v>
      </c>
      <c r="H173" s="104">
        <f t="shared" si="29"/>
        <v>1200</v>
      </c>
      <c r="I173" s="104">
        <v>0</v>
      </c>
      <c r="J173" s="104">
        <v>0</v>
      </c>
      <c r="K173" s="147">
        <f t="shared" si="27"/>
        <v>1200</v>
      </c>
      <c r="L173" s="104">
        <v>0</v>
      </c>
      <c r="M173" s="103">
        <v>0</v>
      </c>
      <c r="N173" s="102">
        <f t="shared" si="26"/>
        <v>1200</v>
      </c>
      <c r="O173" s="104">
        <v>0</v>
      </c>
      <c r="P173" s="104">
        <v>0</v>
      </c>
      <c r="Q173" s="177">
        <f t="shared" si="28"/>
        <v>1200</v>
      </c>
    </row>
    <row r="174" spans="1:17" ht="25.5" x14ac:dyDescent="0.25">
      <c r="A174" s="17" t="s">
        <v>371</v>
      </c>
      <c r="B174" s="53" t="s">
        <v>98</v>
      </c>
      <c r="C174" s="109">
        <v>0</v>
      </c>
      <c r="D174" s="109"/>
      <c r="E174" s="105"/>
      <c r="F174" s="104"/>
      <c r="G174" s="104"/>
      <c r="H174" s="104"/>
      <c r="I174" s="104"/>
      <c r="J174" s="104"/>
      <c r="K174" s="147">
        <f>30</f>
        <v>30</v>
      </c>
      <c r="L174" s="104">
        <v>0</v>
      </c>
      <c r="M174" s="103">
        <v>0</v>
      </c>
      <c r="N174" s="102">
        <f t="shared" si="26"/>
        <v>30</v>
      </c>
      <c r="O174" s="104">
        <v>0</v>
      </c>
      <c r="P174" s="104">
        <v>0</v>
      </c>
      <c r="Q174" s="177">
        <f t="shared" si="28"/>
        <v>30</v>
      </c>
    </row>
    <row r="175" spans="1:17" ht="14.25" customHeight="1" x14ac:dyDescent="0.25">
      <c r="A175" s="17" t="s">
        <v>118</v>
      </c>
      <c r="B175" s="53" t="s">
        <v>119</v>
      </c>
      <c r="C175" s="109">
        <v>650</v>
      </c>
      <c r="D175" s="109">
        <v>0</v>
      </c>
      <c r="E175" s="105">
        <v>0</v>
      </c>
      <c r="F175" s="104">
        <f t="shared" si="30"/>
        <v>650</v>
      </c>
      <c r="G175" s="104">
        <v>0</v>
      </c>
      <c r="H175" s="104">
        <f t="shared" si="29"/>
        <v>650</v>
      </c>
      <c r="I175" s="104">
        <v>0</v>
      </c>
      <c r="J175" s="104">
        <v>0</v>
      </c>
      <c r="K175" s="147">
        <f t="shared" si="27"/>
        <v>650</v>
      </c>
      <c r="L175" s="104">
        <v>0</v>
      </c>
      <c r="M175" s="103">
        <v>0</v>
      </c>
      <c r="N175" s="102">
        <f t="shared" si="26"/>
        <v>650</v>
      </c>
      <c r="O175" s="104">
        <v>0</v>
      </c>
      <c r="P175" s="104">
        <v>0</v>
      </c>
      <c r="Q175" s="177">
        <f t="shared" si="28"/>
        <v>650</v>
      </c>
    </row>
    <row r="176" spans="1:17" ht="27" customHeight="1" x14ac:dyDescent="0.25">
      <c r="A176" s="61" t="s">
        <v>120</v>
      </c>
      <c r="B176" s="53" t="s">
        <v>36</v>
      </c>
      <c r="C176" s="109">
        <v>1570</v>
      </c>
      <c r="D176" s="109">
        <v>0</v>
      </c>
      <c r="E176" s="105">
        <v>0</v>
      </c>
      <c r="F176" s="104">
        <f t="shared" si="30"/>
        <v>1570</v>
      </c>
      <c r="G176" s="104">
        <v>0</v>
      </c>
      <c r="H176" s="104">
        <f t="shared" si="29"/>
        <v>1570</v>
      </c>
      <c r="I176" s="104">
        <v>0</v>
      </c>
      <c r="J176" s="104">
        <v>0</v>
      </c>
      <c r="K176" s="147">
        <f t="shared" si="27"/>
        <v>1570</v>
      </c>
      <c r="L176" s="104">
        <v>0</v>
      </c>
      <c r="M176" s="103">
        <v>0</v>
      </c>
      <c r="N176" s="102">
        <f t="shared" si="26"/>
        <v>1570</v>
      </c>
      <c r="O176" s="104">
        <v>0</v>
      </c>
      <c r="P176" s="104">
        <v>0</v>
      </c>
      <c r="Q176" s="177">
        <f t="shared" si="28"/>
        <v>1570</v>
      </c>
    </row>
    <row r="177" spans="1:18" ht="24" customHeight="1" x14ac:dyDescent="0.25">
      <c r="A177" s="61" t="s">
        <v>121</v>
      </c>
      <c r="B177" s="53" t="s">
        <v>36</v>
      </c>
      <c r="C177" s="109">
        <v>1570</v>
      </c>
      <c r="D177" s="109">
        <v>0</v>
      </c>
      <c r="E177" s="105">
        <v>0</v>
      </c>
      <c r="F177" s="104">
        <f t="shared" si="30"/>
        <v>1570</v>
      </c>
      <c r="G177" s="104">
        <v>0</v>
      </c>
      <c r="H177" s="104">
        <f t="shared" si="29"/>
        <v>1570</v>
      </c>
      <c r="I177" s="104">
        <v>0</v>
      </c>
      <c r="J177" s="104">
        <v>0</v>
      </c>
      <c r="K177" s="147">
        <f t="shared" si="27"/>
        <v>1570</v>
      </c>
      <c r="L177" s="104">
        <v>0</v>
      </c>
      <c r="M177" s="103">
        <v>0</v>
      </c>
      <c r="N177" s="102">
        <f t="shared" si="26"/>
        <v>1570</v>
      </c>
      <c r="O177" s="104">
        <v>0</v>
      </c>
      <c r="P177" s="104">
        <v>0</v>
      </c>
      <c r="Q177" s="177">
        <f t="shared" si="28"/>
        <v>1570</v>
      </c>
    </row>
    <row r="178" spans="1:18" ht="15.75" customHeight="1" thickBot="1" x14ac:dyDescent="0.3">
      <c r="A178" s="55" t="s">
        <v>122</v>
      </c>
      <c r="B178" s="45"/>
      <c r="C178" s="106">
        <v>56026.34</v>
      </c>
      <c r="D178" s="106">
        <f>-130+344.28</f>
        <v>214.27999999999997</v>
      </c>
      <c r="E178" s="107">
        <v>-7658.5</v>
      </c>
      <c r="F178" s="106">
        <f t="shared" si="30"/>
        <v>48582.119999999995</v>
      </c>
      <c r="G178" s="106">
        <f>-100-100-5</f>
        <v>-205</v>
      </c>
      <c r="H178" s="106">
        <f t="shared" si="29"/>
        <v>48377.119999999995</v>
      </c>
      <c r="I178" s="106">
        <v>-328</v>
      </c>
      <c r="J178" s="106">
        <f>116.06-9000-220</f>
        <v>-9103.94</v>
      </c>
      <c r="K178" s="113">
        <f>SUM(H178:J178)-30</f>
        <v>38915.179999999993</v>
      </c>
      <c r="L178" s="106">
        <f>-784.94</f>
        <v>-784.94</v>
      </c>
      <c r="M178" s="107">
        <f>-900+57.88</f>
        <v>-842.12</v>
      </c>
      <c r="N178" s="106">
        <f t="shared" si="26"/>
        <v>37288.119999999988</v>
      </c>
      <c r="O178" s="106">
        <v>0</v>
      </c>
      <c r="P178" s="106">
        <f>29.6</f>
        <v>29.6</v>
      </c>
      <c r="Q178" s="186">
        <f t="shared" si="28"/>
        <v>37317.719999999987</v>
      </c>
    </row>
    <row r="179" spans="1:18" ht="16.5" customHeight="1" thickBot="1" x14ac:dyDescent="0.3">
      <c r="A179" s="56" t="s">
        <v>123</v>
      </c>
      <c r="B179" s="50"/>
      <c r="C179" s="42">
        <f t="shared" ref="C179:J179" si="31">SUM(C181:C192)</f>
        <v>325128</v>
      </c>
      <c r="D179" s="42">
        <f t="shared" si="31"/>
        <v>47.550000000000004</v>
      </c>
      <c r="E179" s="88">
        <f t="shared" si="31"/>
        <v>17777.62</v>
      </c>
      <c r="F179" s="42">
        <f t="shared" si="31"/>
        <v>342953.17</v>
      </c>
      <c r="G179" s="42">
        <f t="shared" si="31"/>
        <v>9.11</v>
      </c>
      <c r="H179" s="42">
        <f t="shared" si="31"/>
        <v>344143.28</v>
      </c>
      <c r="I179" s="42">
        <f t="shared" si="31"/>
        <v>11500</v>
      </c>
      <c r="J179" s="42">
        <f t="shared" si="31"/>
        <v>-11218</v>
      </c>
      <c r="K179" s="153">
        <f>SUM(K181:K192)</f>
        <v>344425.28</v>
      </c>
      <c r="L179" s="123">
        <f>SUM(L181:L192)</f>
        <v>1500</v>
      </c>
      <c r="M179" s="124">
        <f>SUM(M181:M192)</f>
        <v>0</v>
      </c>
      <c r="N179" s="123">
        <f t="shared" si="26"/>
        <v>345925.28</v>
      </c>
      <c r="O179" s="123">
        <f>SUM(O181:O192)</f>
        <v>0</v>
      </c>
      <c r="P179" s="123">
        <f>SUM(P181:P192)</f>
        <v>-2123</v>
      </c>
      <c r="Q179" s="176">
        <f t="shared" si="28"/>
        <v>343802.28</v>
      </c>
      <c r="R179" s="122"/>
    </row>
    <row r="180" spans="1:18" ht="12.75" customHeight="1" x14ac:dyDescent="0.25">
      <c r="A180" s="57" t="s">
        <v>27</v>
      </c>
      <c r="B180" s="47"/>
      <c r="C180" s="16"/>
      <c r="D180" s="16"/>
      <c r="E180" s="82"/>
      <c r="F180" s="16"/>
      <c r="G180" s="16"/>
      <c r="H180" s="102"/>
      <c r="I180" s="102"/>
      <c r="J180" s="102"/>
      <c r="K180" s="147"/>
      <c r="L180" s="102"/>
      <c r="M180" s="103"/>
      <c r="N180" s="102"/>
      <c r="O180" s="102"/>
      <c r="P180" s="102"/>
      <c r="Q180" s="169"/>
    </row>
    <row r="181" spans="1:18" ht="15" customHeight="1" x14ac:dyDescent="0.25">
      <c r="A181" s="54" t="s">
        <v>30</v>
      </c>
      <c r="B181" s="49"/>
      <c r="C181" s="104">
        <v>71786</v>
      </c>
      <c r="D181" s="104">
        <f>45.24+2.31</f>
        <v>47.550000000000004</v>
      </c>
      <c r="E181" s="105">
        <v>10512</v>
      </c>
      <c r="F181" s="104">
        <f>SUM(C181:E181)</f>
        <v>82345.55</v>
      </c>
      <c r="G181" s="104">
        <f>9.11</f>
        <v>9.11</v>
      </c>
      <c r="H181" s="104">
        <f>SUM(F181:G181)+1181</f>
        <v>83535.66</v>
      </c>
      <c r="I181" s="104">
        <v>11500</v>
      </c>
      <c r="J181" s="104">
        <f>282-11500</f>
        <v>-11218</v>
      </c>
      <c r="K181" s="147">
        <f>SUM(H181:J181)+100</f>
        <v>83917.66</v>
      </c>
      <c r="L181" s="104">
        <v>0</v>
      </c>
      <c r="M181" s="103">
        <v>0</v>
      </c>
      <c r="N181" s="102">
        <f t="shared" si="26"/>
        <v>83917.66</v>
      </c>
      <c r="O181" s="104">
        <v>0</v>
      </c>
      <c r="P181" s="104">
        <f>0</f>
        <v>0</v>
      </c>
      <c r="Q181" s="177">
        <f t="shared" si="28"/>
        <v>83917.66</v>
      </c>
    </row>
    <row r="182" spans="1:18" ht="15" customHeight="1" x14ac:dyDescent="0.25">
      <c r="A182" s="54" t="s">
        <v>124</v>
      </c>
      <c r="B182" s="53" t="s">
        <v>36</v>
      </c>
      <c r="C182" s="104">
        <v>132500</v>
      </c>
      <c r="D182" s="104">
        <v>0</v>
      </c>
      <c r="E182" s="105">
        <v>-132500</v>
      </c>
      <c r="F182" s="104">
        <f t="shared" ref="F182:F192" si="32">SUM(C182:E182)</f>
        <v>0</v>
      </c>
      <c r="G182" s="104">
        <v>0</v>
      </c>
      <c r="H182" s="104">
        <f t="shared" si="29"/>
        <v>0</v>
      </c>
      <c r="I182" s="104">
        <v>0</v>
      </c>
      <c r="J182" s="104">
        <v>0</v>
      </c>
      <c r="K182" s="115">
        <f t="shared" si="27"/>
        <v>0</v>
      </c>
      <c r="L182" s="104">
        <v>0</v>
      </c>
      <c r="M182" s="103">
        <v>0</v>
      </c>
      <c r="N182" s="102">
        <f t="shared" si="26"/>
        <v>0</v>
      </c>
      <c r="O182" s="104">
        <v>0</v>
      </c>
      <c r="P182" s="104">
        <v>0</v>
      </c>
      <c r="Q182" s="177">
        <f t="shared" si="28"/>
        <v>0</v>
      </c>
    </row>
    <row r="183" spans="1:18" ht="15" customHeight="1" x14ac:dyDescent="0.25">
      <c r="A183" s="54" t="s">
        <v>125</v>
      </c>
      <c r="B183" s="53" t="s">
        <v>36</v>
      </c>
      <c r="C183" s="104">
        <v>25000</v>
      </c>
      <c r="D183" s="104">
        <v>0</v>
      </c>
      <c r="E183" s="105">
        <v>-25000</v>
      </c>
      <c r="F183" s="104">
        <f t="shared" si="32"/>
        <v>0</v>
      </c>
      <c r="G183" s="104">
        <v>0</v>
      </c>
      <c r="H183" s="104">
        <f t="shared" si="29"/>
        <v>0</v>
      </c>
      <c r="I183" s="104">
        <v>0</v>
      </c>
      <c r="J183" s="104">
        <v>0</v>
      </c>
      <c r="K183" s="147">
        <f t="shared" si="27"/>
        <v>0</v>
      </c>
      <c r="L183" s="104">
        <v>0</v>
      </c>
      <c r="M183" s="103">
        <v>0</v>
      </c>
      <c r="N183" s="102">
        <f t="shared" ref="N183:N248" si="33">SUM(K183:M183)</f>
        <v>0</v>
      </c>
      <c r="O183" s="104">
        <v>0</v>
      </c>
      <c r="P183" s="104">
        <v>0</v>
      </c>
      <c r="Q183" s="177">
        <f t="shared" si="28"/>
        <v>0</v>
      </c>
    </row>
    <row r="184" spans="1:18" ht="15" customHeight="1" x14ac:dyDescent="0.25">
      <c r="A184" s="54" t="s">
        <v>272</v>
      </c>
      <c r="B184" s="53" t="s">
        <v>36</v>
      </c>
      <c r="C184" s="104">
        <v>0</v>
      </c>
      <c r="D184" s="104">
        <v>0</v>
      </c>
      <c r="E184" s="105">
        <v>137700</v>
      </c>
      <c r="F184" s="104">
        <f t="shared" si="32"/>
        <v>137700</v>
      </c>
      <c r="G184" s="104">
        <v>0</v>
      </c>
      <c r="H184" s="104">
        <f t="shared" si="29"/>
        <v>137700</v>
      </c>
      <c r="I184" s="104">
        <v>0</v>
      </c>
      <c r="J184" s="104">
        <v>0</v>
      </c>
      <c r="K184" s="147">
        <f t="shared" si="27"/>
        <v>137700</v>
      </c>
      <c r="L184" s="104">
        <v>0</v>
      </c>
      <c r="M184" s="103">
        <v>0</v>
      </c>
      <c r="N184" s="102">
        <f t="shared" si="33"/>
        <v>137700</v>
      </c>
      <c r="O184" s="104">
        <v>0</v>
      </c>
      <c r="P184" s="104">
        <v>0</v>
      </c>
      <c r="Q184" s="177">
        <f t="shared" si="28"/>
        <v>137700</v>
      </c>
    </row>
    <row r="185" spans="1:18" ht="15" customHeight="1" x14ac:dyDescent="0.25">
      <c r="A185" s="54" t="s">
        <v>273</v>
      </c>
      <c r="B185" s="53" t="s">
        <v>36</v>
      </c>
      <c r="C185" s="104">
        <v>0</v>
      </c>
      <c r="D185" s="104">
        <v>0</v>
      </c>
      <c r="E185" s="105">
        <v>26165.62</v>
      </c>
      <c r="F185" s="104">
        <f t="shared" si="32"/>
        <v>26165.62</v>
      </c>
      <c r="G185" s="104">
        <v>0</v>
      </c>
      <c r="H185" s="104">
        <f t="shared" si="29"/>
        <v>26165.62</v>
      </c>
      <c r="I185" s="104">
        <v>0</v>
      </c>
      <c r="J185" s="104">
        <v>0</v>
      </c>
      <c r="K185" s="147">
        <f t="shared" si="27"/>
        <v>26165.62</v>
      </c>
      <c r="L185" s="104">
        <v>0</v>
      </c>
      <c r="M185" s="103">
        <v>0</v>
      </c>
      <c r="N185" s="102">
        <f t="shared" si="33"/>
        <v>26165.62</v>
      </c>
      <c r="O185" s="104">
        <v>0</v>
      </c>
      <c r="P185" s="104">
        <v>0</v>
      </c>
      <c r="Q185" s="177">
        <f t="shared" si="28"/>
        <v>26165.62</v>
      </c>
    </row>
    <row r="186" spans="1:18" ht="15" customHeight="1" x14ac:dyDescent="0.25">
      <c r="A186" s="54" t="s">
        <v>126</v>
      </c>
      <c r="B186" s="53" t="s">
        <v>36</v>
      </c>
      <c r="C186" s="104">
        <v>228</v>
      </c>
      <c r="D186" s="104">
        <v>0</v>
      </c>
      <c r="E186" s="105">
        <v>0</v>
      </c>
      <c r="F186" s="104">
        <f t="shared" si="32"/>
        <v>228</v>
      </c>
      <c r="G186" s="104">
        <v>0</v>
      </c>
      <c r="H186" s="104">
        <f t="shared" si="29"/>
        <v>228</v>
      </c>
      <c r="I186" s="104">
        <v>0</v>
      </c>
      <c r="J186" s="104">
        <v>0</v>
      </c>
      <c r="K186" s="147">
        <f t="shared" si="27"/>
        <v>228</v>
      </c>
      <c r="L186" s="104">
        <v>0</v>
      </c>
      <c r="M186" s="103">
        <v>0</v>
      </c>
      <c r="N186" s="102">
        <f t="shared" si="33"/>
        <v>228</v>
      </c>
      <c r="O186" s="104">
        <v>0</v>
      </c>
      <c r="P186" s="104">
        <v>0</v>
      </c>
      <c r="Q186" s="177">
        <f t="shared" si="28"/>
        <v>228</v>
      </c>
    </row>
    <row r="187" spans="1:18" ht="15" customHeight="1" x14ac:dyDescent="0.25">
      <c r="A187" s="54" t="s">
        <v>127</v>
      </c>
      <c r="B187" s="53" t="s">
        <v>36</v>
      </c>
      <c r="C187" s="104">
        <v>189</v>
      </c>
      <c r="D187" s="104">
        <v>0</v>
      </c>
      <c r="E187" s="105">
        <v>0</v>
      </c>
      <c r="F187" s="104">
        <f t="shared" si="32"/>
        <v>189</v>
      </c>
      <c r="G187" s="104">
        <v>0</v>
      </c>
      <c r="H187" s="104">
        <f t="shared" si="29"/>
        <v>189</v>
      </c>
      <c r="I187" s="104">
        <v>0</v>
      </c>
      <c r="J187" s="104">
        <v>0</v>
      </c>
      <c r="K187" s="147">
        <f t="shared" si="27"/>
        <v>189</v>
      </c>
      <c r="L187" s="104">
        <v>0</v>
      </c>
      <c r="M187" s="103">
        <v>0</v>
      </c>
      <c r="N187" s="102">
        <f t="shared" si="33"/>
        <v>189</v>
      </c>
      <c r="O187" s="104">
        <v>0</v>
      </c>
      <c r="P187" s="104">
        <v>0</v>
      </c>
      <c r="Q187" s="177">
        <f t="shared" si="28"/>
        <v>189</v>
      </c>
    </row>
    <row r="188" spans="1:18" ht="15" customHeight="1" x14ac:dyDescent="0.25">
      <c r="A188" s="54" t="s">
        <v>128</v>
      </c>
      <c r="B188" s="53" t="s">
        <v>36</v>
      </c>
      <c r="C188" s="104">
        <v>1047</v>
      </c>
      <c r="D188" s="104">
        <v>0</v>
      </c>
      <c r="E188" s="105">
        <v>0</v>
      </c>
      <c r="F188" s="104">
        <f t="shared" si="32"/>
        <v>1047</v>
      </c>
      <c r="G188" s="104">
        <v>0</v>
      </c>
      <c r="H188" s="104">
        <f t="shared" si="29"/>
        <v>1047</v>
      </c>
      <c r="I188" s="104">
        <v>0</v>
      </c>
      <c r="J188" s="104">
        <v>0</v>
      </c>
      <c r="K188" s="147">
        <f t="shared" si="27"/>
        <v>1047</v>
      </c>
      <c r="L188" s="104">
        <v>0</v>
      </c>
      <c r="M188" s="103">
        <v>0</v>
      </c>
      <c r="N188" s="102">
        <f t="shared" si="33"/>
        <v>1047</v>
      </c>
      <c r="O188" s="104">
        <v>0</v>
      </c>
      <c r="P188" s="104">
        <v>0</v>
      </c>
      <c r="Q188" s="177">
        <f t="shared" si="28"/>
        <v>1047</v>
      </c>
    </row>
    <row r="189" spans="1:18" ht="15" customHeight="1" x14ac:dyDescent="0.25">
      <c r="A189" s="54" t="s">
        <v>129</v>
      </c>
      <c r="B189" s="53" t="s">
        <v>36</v>
      </c>
      <c r="C189" s="104">
        <v>277</v>
      </c>
      <c r="D189" s="104">
        <v>0</v>
      </c>
      <c r="E189" s="105">
        <v>0</v>
      </c>
      <c r="F189" s="104">
        <f t="shared" si="32"/>
        <v>277</v>
      </c>
      <c r="G189" s="104">
        <v>0</v>
      </c>
      <c r="H189" s="104">
        <f t="shared" si="29"/>
        <v>277</v>
      </c>
      <c r="I189" s="104">
        <v>0</v>
      </c>
      <c r="J189" s="104">
        <v>0</v>
      </c>
      <c r="K189" s="147">
        <f t="shared" si="27"/>
        <v>277</v>
      </c>
      <c r="L189" s="104">
        <v>0</v>
      </c>
      <c r="M189" s="103">
        <v>0</v>
      </c>
      <c r="N189" s="102">
        <f t="shared" si="33"/>
        <v>277</v>
      </c>
      <c r="O189" s="104">
        <v>0</v>
      </c>
      <c r="P189" s="104">
        <v>0</v>
      </c>
      <c r="Q189" s="177">
        <f t="shared" si="28"/>
        <v>277</v>
      </c>
    </row>
    <row r="190" spans="1:18" ht="27" customHeight="1" x14ac:dyDescent="0.25">
      <c r="A190" s="17" t="s">
        <v>130</v>
      </c>
      <c r="B190" s="53" t="s">
        <v>36</v>
      </c>
      <c r="C190" s="104">
        <v>150</v>
      </c>
      <c r="D190" s="104">
        <v>0</v>
      </c>
      <c r="E190" s="105">
        <v>0</v>
      </c>
      <c r="F190" s="104">
        <f t="shared" si="32"/>
        <v>150</v>
      </c>
      <c r="G190" s="104">
        <v>0</v>
      </c>
      <c r="H190" s="104">
        <f t="shared" si="29"/>
        <v>150</v>
      </c>
      <c r="I190" s="104">
        <v>0</v>
      </c>
      <c r="J190" s="104">
        <v>0</v>
      </c>
      <c r="K190" s="147">
        <f t="shared" si="27"/>
        <v>150</v>
      </c>
      <c r="L190" s="104">
        <v>0</v>
      </c>
      <c r="M190" s="103">
        <v>0</v>
      </c>
      <c r="N190" s="102">
        <f t="shared" si="33"/>
        <v>150</v>
      </c>
      <c r="O190" s="104">
        <v>0</v>
      </c>
      <c r="P190" s="104">
        <v>0</v>
      </c>
      <c r="Q190" s="177">
        <f t="shared" si="28"/>
        <v>150</v>
      </c>
    </row>
    <row r="191" spans="1:18" ht="38.25" customHeight="1" x14ac:dyDescent="0.25">
      <c r="A191" s="17" t="s">
        <v>131</v>
      </c>
      <c r="B191" s="53"/>
      <c r="C191" s="104">
        <v>2450</v>
      </c>
      <c r="D191" s="104">
        <v>0</v>
      </c>
      <c r="E191" s="105">
        <v>0</v>
      </c>
      <c r="F191" s="104">
        <f t="shared" si="32"/>
        <v>2450</v>
      </c>
      <c r="G191" s="104">
        <v>0</v>
      </c>
      <c r="H191" s="104">
        <f t="shared" si="29"/>
        <v>2450</v>
      </c>
      <c r="I191" s="104">
        <v>0</v>
      </c>
      <c r="J191" s="104">
        <v>0</v>
      </c>
      <c r="K191" s="147">
        <f t="shared" si="27"/>
        <v>2450</v>
      </c>
      <c r="L191" s="104">
        <v>0</v>
      </c>
      <c r="M191" s="103">
        <v>0</v>
      </c>
      <c r="N191" s="102">
        <f t="shared" si="33"/>
        <v>2450</v>
      </c>
      <c r="O191" s="104">
        <v>0</v>
      </c>
      <c r="P191" s="104">
        <v>0</v>
      </c>
      <c r="Q191" s="177">
        <f t="shared" si="28"/>
        <v>2450</v>
      </c>
    </row>
    <row r="192" spans="1:18" ht="27" customHeight="1" thickBot="1" x14ac:dyDescent="0.3">
      <c r="A192" s="20" t="s">
        <v>132</v>
      </c>
      <c r="B192" s="45"/>
      <c r="C192" s="106">
        <v>91501</v>
      </c>
      <c r="D192" s="106">
        <v>0</v>
      </c>
      <c r="E192" s="107">
        <v>900</v>
      </c>
      <c r="F192" s="106">
        <f t="shared" si="32"/>
        <v>92401</v>
      </c>
      <c r="G192" s="106">
        <v>0</v>
      </c>
      <c r="H192" s="106">
        <f t="shared" si="29"/>
        <v>92401</v>
      </c>
      <c r="I192" s="106">
        <v>0</v>
      </c>
      <c r="J192" s="106">
        <v>0</v>
      </c>
      <c r="K192" s="209">
        <f>SUM(H192:J192)-100</f>
        <v>92301</v>
      </c>
      <c r="L192" s="106">
        <f>1500</f>
        <v>1500</v>
      </c>
      <c r="M192" s="137">
        <v>0</v>
      </c>
      <c r="N192" s="108">
        <f t="shared" si="33"/>
        <v>93801</v>
      </c>
      <c r="O192" s="106">
        <v>0</v>
      </c>
      <c r="P192" s="106">
        <f>-880-1243</f>
        <v>-2123</v>
      </c>
      <c r="Q192" s="186">
        <f t="shared" si="28"/>
        <v>91678</v>
      </c>
    </row>
    <row r="193" spans="1:18" ht="15" customHeight="1" thickBot="1" x14ac:dyDescent="0.3">
      <c r="A193" s="56" t="s">
        <v>133</v>
      </c>
      <c r="B193" s="50"/>
      <c r="C193" s="42">
        <f t="shared" ref="C193:J193" si="34">SUM(C195:C201)</f>
        <v>152530.56</v>
      </c>
      <c r="D193" s="42">
        <f t="shared" si="34"/>
        <v>81.66</v>
      </c>
      <c r="E193" s="88">
        <f t="shared" si="34"/>
        <v>719</v>
      </c>
      <c r="F193" s="42">
        <f t="shared" si="34"/>
        <v>153331.22</v>
      </c>
      <c r="G193" s="42">
        <f t="shared" si="34"/>
        <v>11.96</v>
      </c>
      <c r="H193" s="42">
        <f t="shared" si="34"/>
        <v>153229.18</v>
      </c>
      <c r="I193" s="42">
        <f t="shared" si="34"/>
        <v>-111.23</v>
      </c>
      <c r="J193" s="42">
        <f t="shared" si="34"/>
        <v>0</v>
      </c>
      <c r="K193" s="153">
        <f>SUM(K195:K201)</f>
        <v>153011.41999999998</v>
      </c>
      <c r="L193" s="123">
        <f>SUM(L195:L201)</f>
        <v>1889.11</v>
      </c>
      <c r="M193" s="124">
        <f>SUM(M195:M201)</f>
        <v>0</v>
      </c>
      <c r="N193" s="123">
        <f t="shared" si="33"/>
        <v>154900.52999999997</v>
      </c>
      <c r="O193" s="123">
        <f>SUM(O195:O201)</f>
        <v>0</v>
      </c>
      <c r="P193" s="123">
        <f>SUM(P195:P201)</f>
        <v>-33.099999999999994</v>
      </c>
      <c r="Q193" s="176">
        <f t="shared" si="28"/>
        <v>154867.42999999996</v>
      </c>
      <c r="R193" s="122"/>
    </row>
    <row r="194" spans="1:18" ht="12" customHeight="1" x14ac:dyDescent="0.25">
      <c r="A194" s="57" t="s">
        <v>27</v>
      </c>
      <c r="B194" s="47"/>
      <c r="C194" s="16"/>
      <c r="D194" s="16"/>
      <c r="E194" s="82"/>
      <c r="F194" s="16"/>
      <c r="G194" s="16"/>
      <c r="H194" s="102"/>
      <c r="I194" s="102"/>
      <c r="J194" s="102"/>
      <c r="K194" s="147"/>
      <c r="L194" s="102"/>
      <c r="M194" s="103"/>
      <c r="N194" s="102"/>
      <c r="O194" s="102"/>
      <c r="P194" s="102"/>
      <c r="Q194" s="169"/>
    </row>
    <row r="195" spans="1:18" ht="15" customHeight="1" x14ac:dyDescent="0.25">
      <c r="A195" s="54" t="s">
        <v>30</v>
      </c>
      <c r="B195" s="49"/>
      <c r="C195" s="104">
        <v>4590</v>
      </c>
      <c r="D195" s="104">
        <f>90.66</f>
        <v>90.66</v>
      </c>
      <c r="E195" s="105">
        <v>0</v>
      </c>
      <c r="F195" s="104">
        <f>SUM(C195:E195)</f>
        <v>4680.66</v>
      </c>
      <c r="G195" s="104">
        <f>11.96</f>
        <v>11.96</v>
      </c>
      <c r="H195" s="104">
        <f t="shared" si="29"/>
        <v>4692.62</v>
      </c>
      <c r="I195" s="104">
        <v>0</v>
      </c>
      <c r="J195" s="104">
        <v>0</v>
      </c>
      <c r="K195" s="147">
        <f>SUM(H195:J195)+45.47</f>
        <v>4738.09</v>
      </c>
      <c r="L195" s="104">
        <v>0</v>
      </c>
      <c r="M195" s="103">
        <v>0</v>
      </c>
      <c r="N195" s="102">
        <f t="shared" si="33"/>
        <v>4738.09</v>
      </c>
      <c r="O195" s="104">
        <v>0</v>
      </c>
      <c r="P195" s="104">
        <f>0</f>
        <v>0</v>
      </c>
      <c r="Q195" s="177">
        <f t="shared" si="28"/>
        <v>4738.09</v>
      </c>
    </row>
    <row r="196" spans="1:18" ht="27.75" customHeight="1" x14ac:dyDescent="0.25">
      <c r="A196" s="17" t="s">
        <v>134</v>
      </c>
      <c r="B196" s="53" t="s">
        <v>135</v>
      </c>
      <c r="C196" s="104">
        <v>350</v>
      </c>
      <c r="D196" s="104">
        <v>0</v>
      </c>
      <c r="E196" s="105">
        <v>0</v>
      </c>
      <c r="F196" s="104">
        <f t="shared" ref="F196:F201" si="35">SUM(C196:E196)</f>
        <v>350</v>
      </c>
      <c r="G196" s="104">
        <v>0</v>
      </c>
      <c r="H196" s="104">
        <f t="shared" si="29"/>
        <v>350</v>
      </c>
      <c r="I196" s="104">
        <v>0</v>
      </c>
      <c r="J196" s="104">
        <v>0</v>
      </c>
      <c r="K196" s="147">
        <f t="shared" ref="K196:K271" si="36">SUM(H196:J196)</f>
        <v>350</v>
      </c>
      <c r="L196" s="104">
        <f>0</f>
        <v>0</v>
      </c>
      <c r="M196" s="103">
        <v>0</v>
      </c>
      <c r="N196" s="102">
        <f t="shared" si="33"/>
        <v>350</v>
      </c>
      <c r="O196" s="104">
        <v>0</v>
      </c>
      <c r="P196" s="104">
        <v>0</v>
      </c>
      <c r="Q196" s="177">
        <f t="shared" si="28"/>
        <v>350</v>
      </c>
    </row>
    <row r="197" spans="1:18" ht="15" customHeight="1" x14ac:dyDescent="0.25">
      <c r="A197" s="17" t="s">
        <v>136</v>
      </c>
      <c r="B197" s="53" t="s">
        <v>137</v>
      </c>
      <c r="C197" s="104">
        <v>250</v>
      </c>
      <c r="D197" s="104">
        <v>0</v>
      </c>
      <c r="E197" s="105">
        <v>0</v>
      </c>
      <c r="F197" s="104">
        <f t="shared" si="35"/>
        <v>250</v>
      </c>
      <c r="G197" s="104">
        <v>0</v>
      </c>
      <c r="H197" s="104">
        <f t="shared" si="29"/>
        <v>250</v>
      </c>
      <c r="I197" s="104">
        <v>0</v>
      </c>
      <c r="J197" s="104">
        <v>0</v>
      </c>
      <c r="K197" s="147">
        <f t="shared" si="36"/>
        <v>250</v>
      </c>
      <c r="L197" s="104">
        <f>-125.89</f>
        <v>-125.89</v>
      </c>
      <c r="M197" s="103">
        <v>0</v>
      </c>
      <c r="N197" s="102">
        <f t="shared" si="33"/>
        <v>124.11</v>
      </c>
      <c r="O197" s="104">
        <v>0</v>
      </c>
      <c r="P197" s="104">
        <v>0</v>
      </c>
      <c r="Q197" s="177">
        <f t="shared" si="28"/>
        <v>124.11</v>
      </c>
    </row>
    <row r="198" spans="1:18" ht="15" customHeight="1" x14ac:dyDescent="0.25">
      <c r="A198" s="54" t="s">
        <v>138</v>
      </c>
      <c r="B198" s="62"/>
      <c r="C198" s="104">
        <v>10</v>
      </c>
      <c r="D198" s="104">
        <v>0</v>
      </c>
      <c r="E198" s="105">
        <v>0</v>
      </c>
      <c r="F198" s="104">
        <f t="shared" si="35"/>
        <v>10</v>
      </c>
      <c r="G198" s="104">
        <v>0</v>
      </c>
      <c r="H198" s="104">
        <f t="shared" si="29"/>
        <v>10</v>
      </c>
      <c r="I198" s="104">
        <v>0</v>
      </c>
      <c r="J198" s="104">
        <v>0</v>
      </c>
      <c r="K198" s="147">
        <f t="shared" si="36"/>
        <v>10</v>
      </c>
      <c r="L198" s="104">
        <v>0</v>
      </c>
      <c r="M198" s="103">
        <v>0</v>
      </c>
      <c r="N198" s="102">
        <f t="shared" si="33"/>
        <v>10</v>
      </c>
      <c r="O198" s="104">
        <v>0</v>
      </c>
      <c r="P198" s="104">
        <v>0</v>
      </c>
      <c r="Q198" s="177">
        <f t="shared" si="28"/>
        <v>10</v>
      </c>
    </row>
    <row r="199" spans="1:18" ht="15" customHeight="1" x14ac:dyDescent="0.25">
      <c r="A199" s="54" t="s">
        <v>139</v>
      </c>
      <c r="B199" s="63" t="s">
        <v>45</v>
      </c>
      <c r="C199" s="104">
        <v>180</v>
      </c>
      <c r="D199" s="104">
        <v>0</v>
      </c>
      <c r="E199" s="105">
        <v>0</v>
      </c>
      <c r="F199" s="104">
        <f t="shared" si="35"/>
        <v>180</v>
      </c>
      <c r="G199" s="104">
        <v>0</v>
      </c>
      <c r="H199" s="104">
        <f t="shared" si="29"/>
        <v>180</v>
      </c>
      <c r="I199" s="104">
        <v>0</v>
      </c>
      <c r="J199" s="104">
        <v>0</v>
      </c>
      <c r="K199" s="147">
        <f t="shared" si="36"/>
        <v>180</v>
      </c>
      <c r="L199" s="104">
        <v>0</v>
      </c>
      <c r="M199" s="103">
        <v>0</v>
      </c>
      <c r="N199" s="102">
        <f t="shared" si="33"/>
        <v>180</v>
      </c>
      <c r="O199" s="104">
        <v>0</v>
      </c>
      <c r="P199" s="104">
        <v>0</v>
      </c>
      <c r="Q199" s="177">
        <f t="shared" si="28"/>
        <v>180</v>
      </c>
    </row>
    <row r="200" spans="1:18" ht="15" customHeight="1" x14ac:dyDescent="0.25">
      <c r="A200" s="54" t="s">
        <v>140</v>
      </c>
      <c r="B200" s="63" t="s">
        <v>45</v>
      </c>
      <c r="C200" s="104">
        <v>810</v>
      </c>
      <c r="D200" s="104">
        <v>0</v>
      </c>
      <c r="E200" s="105">
        <v>0</v>
      </c>
      <c r="F200" s="104">
        <f t="shared" si="35"/>
        <v>810</v>
      </c>
      <c r="G200" s="104">
        <v>0</v>
      </c>
      <c r="H200" s="104">
        <f t="shared" si="29"/>
        <v>810</v>
      </c>
      <c r="I200" s="104">
        <v>0</v>
      </c>
      <c r="J200" s="104">
        <v>0</v>
      </c>
      <c r="K200" s="147">
        <f t="shared" si="36"/>
        <v>810</v>
      </c>
      <c r="L200" s="104">
        <v>0</v>
      </c>
      <c r="M200" s="103">
        <v>0</v>
      </c>
      <c r="N200" s="102">
        <f t="shared" si="33"/>
        <v>810</v>
      </c>
      <c r="O200" s="104">
        <v>0</v>
      </c>
      <c r="P200" s="104">
        <v>0</v>
      </c>
      <c r="Q200" s="177">
        <f t="shared" si="28"/>
        <v>810</v>
      </c>
    </row>
    <row r="201" spans="1:18" ht="25.5" customHeight="1" thickBot="1" x14ac:dyDescent="0.3">
      <c r="A201" s="20" t="s">
        <v>141</v>
      </c>
      <c r="B201" s="194"/>
      <c r="C201" s="106">
        <v>146340.56</v>
      </c>
      <c r="D201" s="106">
        <f>-9</f>
        <v>-9</v>
      </c>
      <c r="E201" s="107">
        <v>719</v>
      </c>
      <c r="F201" s="106">
        <f t="shared" si="35"/>
        <v>147050.56</v>
      </c>
      <c r="G201" s="106">
        <v>0</v>
      </c>
      <c r="H201" s="106">
        <f>SUM(F201:G201)-114</f>
        <v>146936.56</v>
      </c>
      <c r="I201" s="106">
        <v>-111.23</v>
      </c>
      <c r="J201" s="106">
        <v>0</v>
      </c>
      <c r="K201" s="113">
        <f>SUM(H201:J201)-152</f>
        <v>146673.32999999999</v>
      </c>
      <c r="L201" s="106">
        <f>2015</f>
        <v>2015</v>
      </c>
      <c r="M201" s="107">
        <v>0</v>
      </c>
      <c r="N201" s="106">
        <f t="shared" si="33"/>
        <v>148688.32999999999</v>
      </c>
      <c r="O201" s="106">
        <v>0</v>
      </c>
      <c r="P201" s="106">
        <f>19.8-52.9</f>
        <v>-33.099999999999994</v>
      </c>
      <c r="Q201" s="186">
        <f t="shared" si="28"/>
        <v>148655.22999999998</v>
      </c>
    </row>
    <row r="202" spans="1:18" ht="16.5" customHeight="1" thickBot="1" x14ac:dyDescent="0.3">
      <c r="A202" s="56" t="s">
        <v>142</v>
      </c>
      <c r="B202" s="50"/>
      <c r="C202" s="42">
        <f t="shared" ref="C202:J202" si="37">SUM(C204:C255)</f>
        <v>112053</v>
      </c>
      <c r="D202" s="42">
        <f t="shared" si="37"/>
        <v>0</v>
      </c>
      <c r="E202" s="88">
        <f t="shared" si="37"/>
        <v>6135</v>
      </c>
      <c r="F202" s="42">
        <f t="shared" si="37"/>
        <v>118188</v>
      </c>
      <c r="G202" s="42">
        <f t="shared" si="37"/>
        <v>58129</v>
      </c>
      <c r="H202" s="42">
        <f t="shared" si="37"/>
        <v>176317</v>
      </c>
      <c r="I202" s="42">
        <f t="shared" si="37"/>
        <v>239.00000000000011</v>
      </c>
      <c r="J202" s="42">
        <f t="shared" si="37"/>
        <v>70.5</v>
      </c>
      <c r="K202" s="153">
        <f t="shared" si="36"/>
        <v>176626.5</v>
      </c>
      <c r="L202" s="123">
        <f>SUM(L204:L255)</f>
        <v>-274.81</v>
      </c>
      <c r="M202" s="124">
        <f>SUM(M204:M255)</f>
        <v>0</v>
      </c>
      <c r="N202" s="123">
        <f t="shared" si="33"/>
        <v>176351.69</v>
      </c>
      <c r="O202" s="123">
        <f>SUM(O204:O255)</f>
        <v>0</v>
      </c>
      <c r="P202" s="123">
        <f>SUM(P204:P255)</f>
        <v>4268</v>
      </c>
      <c r="Q202" s="176">
        <f t="shared" si="28"/>
        <v>180619.69</v>
      </c>
      <c r="R202" s="122"/>
    </row>
    <row r="203" spans="1:18" ht="15.75" customHeight="1" x14ac:dyDescent="0.25">
      <c r="A203" s="57" t="s">
        <v>27</v>
      </c>
      <c r="B203" s="47"/>
      <c r="C203" s="16"/>
      <c r="D203" s="16"/>
      <c r="E203" s="82"/>
      <c r="F203" s="16"/>
      <c r="G203" s="16"/>
      <c r="H203" s="102"/>
      <c r="I203" s="102"/>
      <c r="J203" s="102"/>
      <c r="K203" s="147"/>
      <c r="L203" s="102"/>
      <c r="M203" s="103"/>
      <c r="N203" s="102"/>
      <c r="O203" s="102"/>
      <c r="P203" s="102"/>
      <c r="Q203" s="169"/>
    </row>
    <row r="204" spans="1:18" ht="23.25" customHeight="1" x14ac:dyDescent="0.25">
      <c r="A204" s="17" t="s">
        <v>143</v>
      </c>
      <c r="B204" s="49" t="s">
        <v>144</v>
      </c>
      <c r="C204" s="110">
        <v>850</v>
      </c>
      <c r="D204" s="110">
        <v>0</v>
      </c>
      <c r="E204" s="105">
        <v>0</v>
      </c>
      <c r="F204" s="104">
        <f>SUM(C204:E204)</f>
        <v>850</v>
      </c>
      <c r="G204" s="104">
        <v>0</v>
      </c>
      <c r="H204" s="104">
        <f t="shared" si="29"/>
        <v>850</v>
      </c>
      <c r="I204" s="104">
        <v>-585</v>
      </c>
      <c r="J204" s="104">
        <v>0</v>
      </c>
      <c r="K204" s="147">
        <f t="shared" si="36"/>
        <v>265</v>
      </c>
      <c r="L204" s="104">
        <v>0</v>
      </c>
      <c r="M204" s="103">
        <v>0</v>
      </c>
      <c r="N204" s="102">
        <f t="shared" si="33"/>
        <v>265</v>
      </c>
      <c r="O204" s="104">
        <v>0</v>
      </c>
      <c r="P204" s="104">
        <v>0</v>
      </c>
      <c r="Q204" s="177">
        <f t="shared" ref="Q204:Q270" si="38">SUM(N204:P204)</f>
        <v>265</v>
      </c>
    </row>
    <row r="205" spans="1:18" ht="24" customHeight="1" x14ac:dyDescent="0.25">
      <c r="A205" s="17" t="s">
        <v>145</v>
      </c>
      <c r="B205" s="53" t="s">
        <v>146</v>
      </c>
      <c r="C205" s="104">
        <v>17000</v>
      </c>
      <c r="D205" s="104">
        <v>0</v>
      </c>
      <c r="E205" s="105">
        <v>0</v>
      </c>
      <c r="F205" s="104">
        <f t="shared" ref="F205:F255" si="39">SUM(C205:E205)</f>
        <v>17000</v>
      </c>
      <c r="G205" s="106">
        <v>0</v>
      </c>
      <c r="H205" s="108">
        <f t="shared" si="29"/>
        <v>17000</v>
      </c>
      <c r="I205" s="108">
        <v>0</v>
      </c>
      <c r="J205" s="108">
        <v>0</v>
      </c>
      <c r="K205" s="147">
        <f t="shared" si="36"/>
        <v>17000</v>
      </c>
      <c r="L205" s="104">
        <v>0</v>
      </c>
      <c r="M205" s="103">
        <v>0</v>
      </c>
      <c r="N205" s="102">
        <f t="shared" si="33"/>
        <v>17000</v>
      </c>
      <c r="O205" s="104">
        <v>0</v>
      </c>
      <c r="P205" s="104">
        <v>0</v>
      </c>
      <c r="Q205" s="177">
        <f t="shared" si="38"/>
        <v>17000</v>
      </c>
    </row>
    <row r="206" spans="1:18" ht="27" customHeight="1" x14ac:dyDescent="0.25">
      <c r="A206" s="17" t="s">
        <v>147</v>
      </c>
      <c r="B206" s="53" t="s">
        <v>148</v>
      </c>
      <c r="C206" s="104">
        <v>1000</v>
      </c>
      <c r="D206" s="104">
        <v>0</v>
      </c>
      <c r="E206" s="105">
        <v>0</v>
      </c>
      <c r="F206" s="104">
        <f t="shared" si="39"/>
        <v>1000</v>
      </c>
      <c r="G206" s="104">
        <v>0</v>
      </c>
      <c r="H206" s="104">
        <f t="shared" si="29"/>
        <v>1000</v>
      </c>
      <c r="I206" s="104">
        <v>-562.6</v>
      </c>
      <c r="J206" s="104">
        <v>0</v>
      </c>
      <c r="K206" s="147">
        <f t="shared" si="36"/>
        <v>437.4</v>
      </c>
      <c r="L206" s="104">
        <f>-60</f>
        <v>-60</v>
      </c>
      <c r="M206" s="103">
        <v>0</v>
      </c>
      <c r="N206" s="102">
        <f t="shared" si="33"/>
        <v>377.4</v>
      </c>
      <c r="O206" s="104">
        <v>0</v>
      </c>
      <c r="P206" s="104">
        <v>0</v>
      </c>
      <c r="Q206" s="177">
        <f t="shared" si="38"/>
        <v>377.4</v>
      </c>
    </row>
    <row r="207" spans="1:18" ht="27" customHeight="1" x14ac:dyDescent="0.25">
      <c r="A207" s="17" t="s">
        <v>149</v>
      </c>
      <c r="B207" s="53" t="s">
        <v>150</v>
      </c>
      <c r="C207" s="104">
        <v>1600</v>
      </c>
      <c r="D207" s="104">
        <v>0</v>
      </c>
      <c r="E207" s="105">
        <v>0</v>
      </c>
      <c r="F207" s="104">
        <f t="shared" si="39"/>
        <v>1600</v>
      </c>
      <c r="G207" s="104">
        <v>0</v>
      </c>
      <c r="H207" s="104">
        <f t="shared" si="29"/>
        <v>1600</v>
      </c>
      <c r="I207" s="104">
        <v>0</v>
      </c>
      <c r="J207" s="104">
        <v>0</v>
      </c>
      <c r="K207" s="147">
        <f t="shared" si="36"/>
        <v>1600</v>
      </c>
      <c r="L207" s="104">
        <v>0</v>
      </c>
      <c r="M207" s="103">
        <v>0</v>
      </c>
      <c r="N207" s="102">
        <f t="shared" si="33"/>
        <v>1600</v>
      </c>
      <c r="O207" s="104">
        <v>0</v>
      </c>
      <c r="P207" s="104">
        <v>0</v>
      </c>
      <c r="Q207" s="177">
        <f t="shared" si="38"/>
        <v>1600</v>
      </c>
    </row>
    <row r="208" spans="1:18" ht="51" customHeight="1" x14ac:dyDescent="0.25">
      <c r="A208" s="17" t="s">
        <v>151</v>
      </c>
      <c r="B208" s="53" t="s">
        <v>36</v>
      </c>
      <c r="C208" s="109">
        <v>11900</v>
      </c>
      <c r="D208" s="109">
        <v>0</v>
      </c>
      <c r="E208" s="105">
        <v>0</v>
      </c>
      <c r="F208" s="104">
        <f t="shared" si="39"/>
        <v>11900</v>
      </c>
      <c r="G208" s="104">
        <v>0</v>
      </c>
      <c r="H208" s="104">
        <f t="shared" si="29"/>
        <v>11900</v>
      </c>
      <c r="I208" s="104">
        <v>0</v>
      </c>
      <c r="J208" s="104">
        <v>0</v>
      </c>
      <c r="K208" s="147">
        <f t="shared" si="36"/>
        <v>11900</v>
      </c>
      <c r="L208" s="104">
        <v>0</v>
      </c>
      <c r="M208" s="103">
        <v>0</v>
      </c>
      <c r="N208" s="102">
        <f t="shared" si="33"/>
        <v>11900</v>
      </c>
      <c r="O208" s="104">
        <v>0</v>
      </c>
      <c r="P208" s="104">
        <v>0</v>
      </c>
      <c r="Q208" s="177">
        <f t="shared" si="38"/>
        <v>11900</v>
      </c>
    </row>
    <row r="209" spans="1:17" ht="15.75" customHeight="1" x14ac:dyDescent="0.25">
      <c r="A209" s="17" t="s">
        <v>320</v>
      </c>
      <c r="B209" s="53" t="s">
        <v>36</v>
      </c>
      <c r="C209" s="109">
        <v>0</v>
      </c>
      <c r="D209" s="109"/>
      <c r="E209" s="105"/>
      <c r="F209" s="104">
        <v>0</v>
      </c>
      <c r="G209" s="104">
        <f>5004</f>
        <v>5004</v>
      </c>
      <c r="H209" s="104">
        <f>SUM(F209:G209)</f>
        <v>5004</v>
      </c>
      <c r="I209" s="104">
        <v>0</v>
      </c>
      <c r="J209" s="104">
        <v>0</v>
      </c>
      <c r="K209" s="147">
        <f t="shared" si="36"/>
        <v>5004</v>
      </c>
      <c r="L209" s="104">
        <v>0</v>
      </c>
      <c r="M209" s="103">
        <v>0</v>
      </c>
      <c r="N209" s="102">
        <f t="shared" si="33"/>
        <v>5004</v>
      </c>
      <c r="O209" s="104">
        <v>0</v>
      </c>
      <c r="P209" s="104">
        <f>399</f>
        <v>399</v>
      </c>
      <c r="Q209" s="177">
        <f t="shared" si="38"/>
        <v>5403</v>
      </c>
    </row>
    <row r="210" spans="1:17" ht="15" customHeight="1" x14ac:dyDescent="0.25">
      <c r="A210" s="54" t="s">
        <v>152</v>
      </c>
      <c r="B210" s="53" t="s">
        <v>36</v>
      </c>
      <c r="C210" s="109">
        <v>6620</v>
      </c>
      <c r="D210" s="109">
        <v>0</v>
      </c>
      <c r="E210" s="105">
        <v>0</v>
      </c>
      <c r="F210" s="104">
        <f t="shared" si="39"/>
        <v>6620</v>
      </c>
      <c r="G210" s="104">
        <v>0</v>
      </c>
      <c r="H210" s="104">
        <f t="shared" si="29"/>
        <v>6620</v>
      </c>
      <c r="I210" s="104">
        <v>-11</v>
      </c>
      <c r="J210" s="104">
        <v>0</v>
      </c>
      <c r="K210" s="147">
        <f t="shared" si="36"/>
        <v>6609</v>
      </c>
      <c r="L210" s="104">
        <v>0</v>
      </c>
      <c r="M210" s="103">
        <v>0</v>
      </c>
      <c r="N210" s="102">
        <f t="shared" si="33"/>
        <v>6609</v>
      </c>
      <c r="O210" s="104">
        <v>0</v>
      </c>
      <c r="P210" s="104">
        <v>0</v>
      </c>
      <c r="Q210" s="177">
        <f t="shared" si="38"/>
        <v>6609</v>
      </c>
    </row>
    <row r="211" spans="1:17" ht="51" customHeight="1" x14ac:dyDescent="0.25">
      <c r="A211" s="17" t="s">
        <v>153</v>
      </c>
      <c r="B211" s="53" t="s">
        <v>36</v>
      </c>
      <c r="C211" s="109">
        <v>18705</v>
      </c>
      <c r="D211" s="109">
        <v>0</v>
      </c>
      <c r="E211" s="105">
        <v>0</v>
      </c>
      <c r="F211" s="104">
        <f t="shared" si="39"/>
        <v>18705</v>
      </c>
      <c r="G211" s="104">
        <v>0</v>
      </c>
      <c r="H211" s="104">
        <f t="shared" si="29"/>
        <v>18705</v>
      </c>
      <c r="I211" s="104">
        <v>0</v>
      </c>
      <c r="J211" s="104">
        <v>0</v>
      </c>
      <c r="K211" s="147">
        <f t="shared" si="36"/>
        <v>18705</v>
      </c>
      <c r="L211" s="104">
        <v>0</v>
      </c>
      <c r="M211" s="103">
        <v>0</v>
      </c>
      <c r="N211" s="102">
        <f t="shared" si="33"/>
        <v>18705</v>
      </c>
      <c r="O211" s="104">
        <v>0</v>
      </c>
      <c r="P211" s="104">
        <v>0</v>
      </c>
      <c r="Q211" s="177">
        <f t="shared" si="38"/>
        <v>18705</v>
      </c>
    </row>
    <row r="212" spans="1:17" ht="17.25" customHeight="1" x14ac:dyDescent="0.25">
      <c r="A212" s="17" t="s">
        <v>323</v>
      </c>
      <c r="B212" s="53" t="s">
        <v>36</v>
      </c>
      <c r="C212" s="109">
        <v>0</v>
      </c>
      <c r="D212" s="109"/>
      <c r="E212" s="105"/>
      <c r="F212" s="104">
        <v>0</v>
      </c>
      <c r="G212" s="104">
        <f>25334</f>
        <v>25334</v>
      </c>
      <c r="H212" s="104">
        <f>SUM(F212:G212)</f>
        <v>25334</v>
      </c>
      <c r="I212" s="104">
        <v>0</v>
      </c>
      <c r="J212" s="104">
        <v>0</v>
      </c>
      <c r="K212" s="147">
        <f t="shared" si="36"/>
        <v>25334</v>
      </c>
      <c r="L212" s="104">
        <v>0</v>
      </c>
      <c r="M212" s="103">
        <v>0</v>
      </c>
      <c r="N212" s="102">
        <f t="shared" si="33"/>
        <v>25334</v>
      </c>
      <c r="O212" s="104">
        <v>0</v>
      </c>
      <c r="P212" s="104">
        <f>2533</f>
        <v>2533</v>
      </c>
      <c r="Q212" s="177">
        <f t="shared" si="38"/>
        <v>27867</v>
      </c>
    </row>
    <row r="213" spans="1:17" ht="50.25" customHeight="1" x14ac:dyDescent="0.25">
      <c r="A213" s="17" t="s">
        <v>154</v>
      </c>
      <c r="B213" s="53" t="s">
        <v>36</v>
      </c>
      <c r="C213" s="109">
        <v>14028</v>
      </c>
      <c r="D213" s="109">
        <v>0</v>
      </c>
      <c r="E213" s="105">
        <v>0</v>
      </c>
      <c r="F213" s="104">
        <f t="shared" si="39"/>
        <v>14028</v>
      </c>
      <c r="G213" s="104">
        <v>0</v>
      </c>
      <c r="H213" s="104">
        <f t="shared" si="29"/>
        <v>14028</v>
      </c>
      <c r="I213" s="104">
        <v>0</v>
      </c>
      <c r="J213" s="104">
        <v>0</v>
      </c>
      <c r="K213" s="147">
        <f t="shared" si="36"/>
        <v>14028</v>
      </c>
      <c r="L213" s="104">
        <v>0</v>
      </c>
      <c r="M213" s="103">
        <v>0</v>
      </c>
      <c r="N213" s="102">
        <f t="shared" si="33"/>
        <v>14028</v>
      </c>
      <c r="O213" s="104">
        <v>0</v>
      </c>
      <c r="P213" s="104">
        <v>0</v>
      </c>
      <c r="Q213" s="177">
        <f t="shared" si="38"/>
        <v>14028</v>
      </c>
    </row>
    <row r="214" spans="1:17" ht="18" customHeight="1" x14ac:dyDescent="0.25">
      <c r="A214" s="17" t="s">
        <v>322</v>
      </c>
      <c r="B214" s="53" t="s">
        <v>36</v>
      </c>
      <c r="C214" s="109">
        <v>0</v>
      </c>
      <c r="D214" s="109"/>
      <c r="E214" s="105"/>
      <c r="F214" s="104">
        <v>0</v>
      </c>
      <c r="G214" s="104">
        <f>15553</f>
        <v>15553</v>
      </c>
      <c r="H214" s="104">
        <f>SUM(F214:G214)</f>
        <v>15553</v>
      </c>
      <c r="I214" s="104">
        <v>0</v>
      </c>
      <c r="J214" s="104">
        <v>0</v>
      </c>
      <c r="K214" s="147">
        <f t="shared" si="36"/>
        <v>15553</v>
      </c>
      <c r="L214" s="104">
        <v>0</v>
      </c>
      <c r="M214" s="103">
        <v>0</v>
      </c>
      <c r="N214" s="102">
        <f t="shared" si="33"/>
        <v>15553</v>
      </c>
      <c r="O214" s="104">
        <v>0</v>
      </c>
      <c r="P214" s="104">
        <f>596</f>
        <v>596</v>
      </c>
      <c r="Q214" s="177">
        <f t="shared" si="38"/>
        <v>16149</v>
      </c>
    </row>
    <row r="215" spans="1:17" ht="48.75" customHeight="1" x14ac:dyDescent="0.25">
      <c r="A215" s="17" t="s">
        <v>155</v>
      </c>
      <c r="B215" s="53" t="s">
        <v>36</v>
      </c>
      <c r="C215" s="109">
        <v>12000</v>
      </c>
      <c r="D215" s="109">
        <v>0</v>
      </c>
      <c r="E215" s="105">
        <v>0</v>
      </c>
      <c r="F215" s="104">
        <f t="shared" si="39"/>
        <v>12000</v>
      </c>
      <c r="G215" s="104">
        <v>0</v>
      </c>
      <c r="H215" s="104">
        <f t="shared" si="29"/>
        <v>12000</v>
      </c>
      <c r="I215" s="104">
        <v>0</v>
      </c>
      <c r="J215" s="104">
        <v>0</v>
      </c>
      <c r="K215" s="147">
        <f t="shared" si="36"/>
        <v>12000</v>
      </c>
      <c r="L215" s="104">
        <v>0</v>
      </c>
      <c r="M215" s="103">
        <v>0</v>
      </c>
      <c r="N215" s="102">
        <f t="shared" si="33"/>
        <v>12000</v>
      </c>
      <c r="O215" s="104">
        <v>0</v>
      </c>
      <c r="P215" s="104">
        <v>0</v>
      </c>
      <c r="Q215" s="177">
        <f t="shared" si="38"/>
        <v>12000</v>
      </c>
    </row>
    <row r="216" spans="1:17" ht="15" customHeight="1" x14ac:dyDescent="0.25">
      <c r="A216" s="17" t="s">
        <v>321</v>
      </c>
      <c r="B216" s="53" t="s">
        <v>36</v>
      </c>
      <c r="C216" s="109">
        <v>0</v>
      </c>
      <c r="D216" s="109"/>
      <c r="E216" s="105"/>
      <c r="F216" s="104">
        <v>0</v>
      </c>
      <c r="G216" s="104">
        <f>5502</f>
        <v>5502</v>
      </c>
      <c r="H216" s="104">
        <f>SUM(F216:G216)</f>
        <v>5502</v>
      </c>
      <c r="I216" s="104">
        <v>0</v>
      </c>
      <c r="J216" s="104">
        <v>0</v>
      </c>
      <c r="K216" s="147">
        <f t="shared" si="36"/>
        <v>5502</v>
      </c>
      <c r="L216" s="104">
        <v>0</v>
      </c>
      <c r="M216" s="103">
        <v>0</v>
      </c>
      <c r="N216" s="102">
        <f t="shared" si="33"/>
        <v>5502</v>
      </c>
      <c r="O216" s="104">
        <v>0</v>
      </c>
      <c r="P216" s="104">
        <f>373</f>
        <v>373</v>
      </c>
      <c r="Q216" s="177">
        <f t="shared" si="38"/>
        <v>5875</v>
      </c>
    </row>
    <row r="217" spans="1:17" ht="66.75" customHeight="1" x14ac:dyDescent="0.25">
      <c r="A217" s="17" t="s">
        <v>156</v>
      </c>
      <c r="B217" s="53" t="s">
        <v>36</v>
      </c>
      <c r="C217" s="109">
        <v>11200</v>
      </c>
      <c r="D217" s="109">
        <v>0</v>
      </c>
      <c r="E217" s="105">
        <v>0</v>
      </c>
      <c r="F217" s="104">
        <f t="shared" si="39"/>
        <v>11200</v>
      </c>
      <c r="G217" s="104">
        <v>0</v>
      </c>
      <c r="H217" s="104">
        <f t="shared" si="29"/>
        <v>11200</v>
      </c>
      <c r="I217" s="104">
        <v>0</v>
      </c>
      <c r="J217" s="104">
        <v>0</v>
      </c>
      <c r="K217" s="147">
        <f t="shared" si="36"/>
        <v>11200</v>
      </c>
      <c r="L217" s="104">
        <f>240</f>
        <v>240</v>
      </c>
      <c r="M217" s="103">
        <v>0</v>
      </c>
      <c r="N217" s="102">
        <f t="shared" si="33"/>
        <v>11440</v>
      </c>
      <c r="O217" s="104">
        <v>0</v>
      </c>
      <c r="P217" s="104">
        <v>0</v>
      </c>
      <c r="Q217" s="177">
        <f t="shared" si="38"/>
        <v>11440</v>
      </c>
    </row>
    <row r="218" spans="1:17" ht="18.75" customHeight="1" x14ac:dyDescent="0.25">
      <c r="A218" s="17" t="s">
        <v>324</v>
      </c>
      <c r="B218" s="53" t="s">
        <v>36</v>
      </c>
      <c r="C218" s="109">
        <v>0</v>
      </c>
      <c r="D218" s="109"/>
      <c r="E218" s="105"/>
      <c r="F218" s="104">
        <v>0</v>
      </c>
      <c r="G218" s="104">
        <f>6736</f>
        <v>6736</v>
      </c>
      <c r="H218" s="104">
        <f>SUM(F218:G218)</f>
        <v>6736</v>
      </c>
      <c r="I218" s="104">
        <v>0</v>
      </c>
      <c r="J218" s="104">
        <v>0</v>
      </c>
      <c r="K218" s="147">
        <f t="shared" si="36"/>
        <v>6736</v>
      </c>
      <c r="L218" s="104">
        <v>0</v>
      </c>
      <c r="M218" s="103">
        <v>0</v>
      </c>
      <c r="N218" s="102">
        <f t="shared" si="33"/>
        <v>6736</v>
      </c>
      <c r="O218" s="104">
        <v>0</v>
      </c>
      <c r="P218" s="104">
        <f>367</f>
        <v>367</v>
      </c>
      <c r="Q218" s="177">
        <f t="shared" si="38"/>
        <v>7103</v>
      </c>
    </row>
    <row r="219" spans="1:17" ht="21.75" customHeight="1" x14ac:dyDescent="0.25">
      <c r="A219" s="17" t="s">
        <v>310</v>
      </c>
      <c r="B219" s="53" t="s">
        <v>262</v>
      </c>
      <c r="C219" s="109">
        <v>0</v>
      </c>
      <c r="D219" s="109">
        <f>20</f>
        <v>20</v>
      </c>
      <c r="E219" s="105">
        <v>0</v>
      </c>
      <c r="F219" s="104">
        <f>SUM(C219:E219)</f>
        <v>20</v>
      </c>
      <c r="G219" s="104">
        <v>0</v>
      </c>
      <c r="H219" s="104">
        <f t="shared" si="29"/>
        <v>20</v>
      </c>
      <c r="I219" s="104">
        <v>0</v>
      </c>
      <c r="J219" s="104">
        <v>0</v>
      </c>
      <c r="K219" s="147">
        <f t="shared" si="36"/>
        <v>20</v>
      </c>
      <c r="L219" s="104">
        <v>0</v>
      </c>
      <c r="M219" s="103">
        <v>0</v>
      </c>
      <c r="N219" s="102">
        <f t="shared" si="33"/>
        <v>20</v>
      </c>
      <c r="O219" s="104">
        <v>0</v>
      </c>
      <c r="P219" s="104">
        <v>0</v>
      </c>
      <c r="Q219" s="177">
        <f t="shared" si="38"/>
        <v>20</v>
      </c>
    </row>
    <row r="220" spans="1:17" ht="15" customHeight="1" x14ac:dyDescent="0.25">
      <c r="A220" s="17" t="s">
        <v>157</v>
      </c>
      <c r="B220" s="53"/>
      <c r="C220" s="109">
        <v>4.5</v>
      </c>
      <c r="D220" s="109">
        <v>0</v>
      </c>
      <c r="E220" s="105">
        <v>0</v>
      </c>
      <c r="F220" s="104">
        <f t="shared" si="39"/>
        <v>4.5</v>
      </c>
      <c r="G220" s="104">
        <v>0</v>
      </c>
      <c r="H220" s="104">
        <f t="shared" si="29"/>
        <v>4.5</v>
      </c>
      <c r="I220" s="104">
        <v>0</v>
      </c>
      <c r="J220" s="104">
        <v>0</v>
      </c>
      <c r="K220" s="147">
        <f t="shared" si="36"/>
        <v>4.5</v>
      </c>
      <c r="L220" s="104">
        <v>0</v>
      </c>
      <c r="M220" s="103">
        <v>0</v>
      </c>
      <c r="N220" s="102">
        <f t="shared" si="33"/>
        <v>4.5</v>
      </c>
      <c r="O220" s="104">
        <v>0</v>
      </c>
      <c r="P220" s="104">
        <v>0</v>
      </c>
      <c r="Q220" s="177">
        <f t="shared" si="38"/>
        <v>4.5</v>
      </c>
    </row>
    <row r="221" spans="1:17" ht="15" customHeight="1" x14ac:dyDescent="0.25">
      <c r="A221" s="17" t="s">
        <v>348</v>
      </c>
      <c r="B221" s="53" t="s">
        <v>36</v>
      </c>
      <c r="C221" s="109">
        <v>0</v>
      </c>
      <c r="D221" s="109"/>
      <c r="E221" s="105"/>
      <c r="F221" s="104"/>
      <c r="G221" s="104"/>
      <c r="H221" s="104">
        <v>0</v>
      </c>
      <c r="I221" s="104">
        <v>0</v>
      </c>
      <c r="J221" s="104">
        <f>50</f>
        <v>50</v>
      </c>
      <c r="K221" s="147">
        <f>SUM(H221:J221)</f>
        <v>50</v>
      </c>
      <c r="L221" s="104">
        <v>0</v>
      </c>
      <c r="M221" s="103">
        <v>0</v>
      </c>
      <c r="N221" s="102">
        <f t="shared" si="33"/>
        <v>50</v>
      </c>
      <c r="O221" s="104">
        <v>0</v>
      </c>
      <c r="P221" s="104">
        <v>0</v>
      </c>
      <c r="Q221" s="177">
        <f t="shared" si="38"/>
        <v>50</v>
      </c>
    </row>
    <row r="222" spans="1:17" ht="15" customHeight="1" x14ac:dyDescent="0.25">
      <c r="A222" s="17" t="s">
        <v>158</v>
      </c>
      <c r="B222" s="53" t="s">
        <v>119</v>
      </c>
      <c r="C222" s="109">
        <v>20</v>
      </c>
      <c r="D222" s="109">
        <v>0</v>
      </c>
      <c r="E222" s="105">
        <v>0</v>
      </c>
      <c r="F222" s="104">
        <f t="shared" si="39"/>
        <v>20</v>
      </c>
      <c r="G222" s="104">
        <v>0</v>
      </c>
      <c r="H222" s="104">
        <f t="shared" si="29"/>
        <v>20</v>
      </c>
      <c r="I222" s="104">
        <v>0</v>
      </c>
      <c r="J222" s="104">
        <v>0</v>
      </c>
      <c r="K222" s="147">
        <f t="shared" si="36"/>
        <v>20</v>
      </c>
      <c r="L222" s="104">
        <v>0</v>
      </c>
      <c r="M222" s="103">
        <v>0</v>
      </c>
      <c r="N222" s="102">
        <f t="shared" si="33"/>
        <v>20</v>
      </c>
      <c r="O222" s="104">
        <v>0</v>
      </c>
      <c r="P222" s="104">
        <v>0</v>
      </c>
      <c r="Q222" s="177">
        <f t="shared" si="38"/>
        <v>20</v>
      </c>
    </row>
    <row r="223" spans="1:17" ht="15" customHeight="1" x14ac:dyDescent="0.25">
      <c r="A223" s="17" t="s">
        <v>159</v>
      </c>
      <c r="B223" s="53" t="s">
        <v>119</v>
      </c>
      <c r="C223" s="109">
        <v>10</v>
      </c>
      <c r="D223" s="109">
        <v>0</v>
      </c>
      <c r="E223" s="105">
        <v>0</v>
      </c>
      <c r="F223" s="104">
        <f t="shared" si="39"/>
        <v>10</v>
      </c>
      <c r="G223" s="104">
        <v>0</v>
      </c>
      <c r="H223" s="104">
        <f t="shared" si="29"/>
        <v>10</v>
      </c>
      <c r="I223" s="104">
        <v>0</v>
      </c>
      <c r="J223" s="104">
        <v>0</v>
      </c>
      <c r="K223" s="147">
        <f t="shared" si="36"/>
        <v>10</v>
      </c>
      <c r="L223" s="104">
        <v>0</v>
      </c>
      <c r="M223" s="103">
        <v>0</v>
      </c>
      <c r="N223" s="102">
        <f t="shared" si="33"/>
        <v>10</v>
      </c>
      <c r="O223" s="104">
        <v>0</v>
      </c>
      <c r="P223" s="104">
        <v>0</v>
      </c>
      <c r="Q223" s="177">
        <f t="shared" si="38"/>
        <v>10</v>
      </c>
    </row>
    <row r="224" spans="1:17" ht="15" customHeight="1" x14ac:dyDescent="0.25">
      <c r="A224" s="54" t="s">
        <v>160</v>
      </c>
      <c r="B224" s="53" t="s">
        <v>119</v>
      </c>
      <c r="C224" s="109">
        <v>70</v>
      </c>
      <c r="D224" s="109">
        <v>0</v>
      </c>
      <c r="E224" s="105">
        <v>0</v>
      </c>
      <c r="F224" s="104">
        <f t="shared" si="39"/>
        <v>70</v>
      </c>
      <c r="G224" s="104">
        <v>0</v>
      </c>
      <c r="H224" s="104">
        <f t="shared" si="29"/>
        <v>70</v>
      </c>
      <c r="I224" s="104">
        <v>0</v>
      </c>
      <c r="J224" s="104">
        <v>0</v>
      </c>
      <c r="K224" s="147">
        <f t="shared" si="36"/>
        <v>70</v>
      </c>
      <c r="L224" s="104">
        <v>0</v>
      </c>
      <c r="M224" s="103">
        <v>0</v>
      </c>
      <c r="N224" s="102">
        <f t="shared" si="33"/>
        <v>70</v>
      </c>
      <c r="O224" s="104">
        <v>0</v>
      </c>
      <c r="P224" s="104">
        <v>0</v>
      </c>
      <c r="Q224" s="177">
        <f t="shared" si="38"/>
        <v>70</v>
      </c>
    </row>
    <row r="225" spans="1:17" ht="15" customHeight="1" x14ac:dyDescent="0.25">
      <c r="A225" s="54" t="s">
        <v>161</v>
      </c>
      <c r="B225" s="53" t="s">
        <v>36</v>
      </c>
      <c r="C225" s="109">
        <v>1050</v>
      </c>
      <c r="D225" s="109">
        <v>0</v>
      </c>
      <c r="E225" s="105">
        <v>0</v>
      </c>
      <c r="F225" s="104">
        <f t="shared" si="39"/>
        <v>1050</v>
      </c>
      <c r="G225" s="108">
        <v>0</v>
      </c>
      <c r="H225" s="108">
        <f t="shared" si="29"/>
        <v>1050</v>
      </c>
      <c r="I225" s="108">
        <v>0</v>
      </c>
      <c r="J225" s="108">
        <v>0</v>
      </c>
      <c r="K225" s="147">
        <f t="shared" si="36"/>
        <v>1050</v>
      </c>
      <c r="L225" s="104">
        <v>0</v>
      </c>
      <c r="M225" s="103">
        <v>0</v>
      </c>
      <c r="N225" s="102">
        <f t="shared" si="33"/>
        <v>1050</v>
      </c>
      <c r="O225" s="104">
        <v>0</v>
      </c>
      <c r="P225" s="104">
        <v>0</v>
      </c>
      <c r="Q225" s="177">
        <f t="shared" si="38"/>
        <v>1050</v>
      </c>
    </row>
    <row r="226" spans="1:17" ht="15" customHeight="1" x14ac:dyDescent="0.25">
      <c r="A226" s="54" t="s">
        <v>162</v>
      </c>
      <c r="B226" s="53" t="s">
        <v>36</v>
      </c>
      <c r="C226" s="109">
        <v>4000</v>
      </c>
      <c r="D226" s="109">
        <v>0</v>
      </c>
      <c r="E226" s="105">
        <v>0</v>
      </c>
      <c r="F226" s="104">
        <f t="shared" si="39"/>
        <v>4000</v>
      </c>
      <c r="G226" s="104">
        <v>0</v>
      </c>
      <c r="H226" s="104">
        <f t="shared" si="29"/>
        <v>4000</v>
      </c>
      <c r="I226" s="104">
        <v>0</v>
      </c>
      <c r="J226" s="104">
        <v>0</v>
      </c>
      <c r="K226" s="147">
        <f t="shared" si="36"/>
        <v>4000</v>
      </c>
      <c r="L226" s="104">
        <v>0</v>
      </c>
      <c r="M226" s="103">
        <v>0</v>
      </c>
      <c r="N226" s="102">
        <f t="shared" si="33"/>
        <v>4000</v>
      </c>
      <c r="O226" s="104">
        <v>0</v>
      </c>
      <c r="P226" s="104">
        <v>0</v>
      </c>
      <c r="Q226" s="177">
        <f t="shared" si="38"/>
        <v>4000</v>
      </c>
    </row>
    <row r="227" spans="1:17" ht="15" customHeight="1" x14ac:dyDescent="0.25">
      <c r="A227" s="54" t="s">
        <v>163</v>
      </c>
      <c r="B227" s="53" t="s">
        <v>119</v>
      </c>
      <c r="C227" s="109">
        <v>80</v>
      </c>
      <c r="D227" s="109">
        <v>0</v>
      </c>
      <c r="E227" s="105">
        <v>0</v>
      </c>
      <c r="F227" s="104">
        <f t="shared" si="39"/>
        <v>80</v>
      </c>
      <c r="G227" s="104">
        <v>0</v>
      </c>
      <c r="H227" s="104">
        <f t="shared" si="29"/>
        <v>80</v>
      </c>
      <c r="I227" s="104">
        <v>0</v>
      </c>
      <c r="J227" s="104">
        <v>0</v>
      </c>
      <c r="K227" s="147">
        <f t="shared" si="36"/>
        <v>80</v>
      </c>
      <c r="L227" s="104">
        <v>0</v>
      </c>
      <c r="M227" s="103">
        <v>0</v>
      </c>
      <c r="N227" s="102">
        <f t="shared" si="33"/>
        <v>80</v>
      </c>
      <c r="O227" s="104">
        <v>0</v>
      </c>
      <c r="P227" s="104">
        <v>0</v>
      </c>
      <c r="Q227" s="177">
        <f t="shared" si="38"/>
        <v>80</v>
      </c>
    </row>
    <row r="228" spans="1:17" ht="15" customHeight="1" x14ac:dyDescent="0.25">
      <c r="A228" s="54" t="s">
        <v>386</v>
      </c>
      <c r="B228" s="53" t="s">
        <v>36</v>
      </c>
      <c r="C228" s="109">
        <v>0</v>
      </c>
      <c r="D228" s="109"/>
      <c r="E228" s="105"/>
      <c r="F228" s="104"/>
      <c r="G228" s="104"/>
      <c r="H228" s="104"/>
      <c r="I228" s="104"/>
      <c r="J228" s="104"/>
      <c r="K228" s="147"/>
      <c r="L228" s="104"/>
      <c r="M228" s="103"/>
      <c r="N228" s="102">
        <v>0</v>
      </c>
      <c r="O228" s="104">
        <v>0</v>
      </c>
      <c r="P228" s="104">
        <f>50</f>
        <v>50</v>
      </c>
      <c r="Q228" s="177">
        <f>SUM(N228:P228)</f>
        <v>50</v>
      </c>
    </row>
    <row r="229" spans="1:17" ht="15" customHeight="1" x14ac:dyDescent="0.25">
      <c r="A229" s="54" t="s">
        <v>164</v>
      </c>
      <c r="B229" s="53" t="s">
        <v>36</v>
      </c>
      <c r="C229" s="109">
        <v>50</v>
      </c>
      <c r="D229" s="109">
        <v>0</v>
      </c>
      <c r="E229" s="105">
        <v>0</v>
      </c>
      <c r="F229" s="104">
        <f t="shared" si="39"/>
        <v>50</v>
      </c>
      <c r="G229" s="104">
        <v>0</v>
      </c>
      <c r="H229" s="104">
        <f t="shared" si="29"/>
        <v>50</v>
      </c>
      <c r="I229" s="104">
        <v>0</v>
      </c>
      <c r="J229" s="104">
        <v>0</v>
      </c>
      <c r="K229" s="147">
        <f t="shared" si="36"/>
        <v>50</v>
      </c>
      <c r="L229" s="104">
        <v>0</v>
      </c>
      <c r="M229" s="103">
        <v>0</v>
      </c>
      <c r="N229" s="102">
        <f t="shared" si="33"/>
        <v>50</v>
      </c>
      <c r="O229" s="104">
        <v>0</v>
      </c>
      <c r="P229" s="104">
        <v>0</v>
      </c>
      <c r="Q229" s="177">
        <f t="shared" si="38"/>
        <v>50</v>
      </c>
    </row>
    <row r="230" spans="1:17" ht="15" customHeight="1" x14ac:dyDescent="0.25">
      <c r="A230" s="54" t="s">
        <v>165</v>
      </c>
      <c r="B230" s="53" t="s">
        <v>36</v>
      </c>
      <c r="C230" s="109">
        <v>100</v>
      </c>
      <c r="D230" s="109">
        <v>0</v>
      </c>
      <c r="E230" s="105">
        <v>0</v>
      </c>
      <c r="F230" s="104">
        <f t="shared" si="39"/>
        <v>100</v>
      </c>
      <c r="G230" s="104">
        <v>0</v>
      </c>
      <c r="H230" s="104">
        <f t="shared" si="29"/>
        <v>100</v>
      </c>
      <c r="I230" s="104">
        <v>0</v>
      </c>
      <c r="J230" s="104">
        <v>0</v>
      </c>
      <c r="K230" s="147">
        <f t="shared" si="36"/>
        <v>100</v>
      </c>
      <c r="L230" s="104">
        <v>0</v>
      </c>
      <c r="M230" s="103">
        <v>0</v>
      </c>
      <c r="N230" s="102">
        <f t="shared" si="33"/>
        <v>100</v>
      </c>
      <c r="O230" s="104">
        <v>0</v>
      </c>
      <c r="P230" s="104">
        <v>0</v>
      </c>
      <c r="Q230" s="177">
        <f t="shared" si="38"/>
        <v>100</v>
      </c>
    </row>
    <row r="231" spans="1:17" ht="15" customHeight="1" x14ac:dyDescent="0.25">
      <c r="A231" s="54" t="s">
        <v>166</v>
      </c>
      <c r="B231" s="53" t="s">
        <v>36</v>
      </c>
      <c r="C231" s="109">
        <v>650</v>
      </c>
      <c r="D231" s="109">
        <v>0</v>
      </c>
      <c r="E231" s="105">
        <v>0</v>
      </c>
      <c r="F231" s="104">
        <f t="shared" si="39"/>
        <v>650</v>
      </c>
      <c r="G231" s="104">
        <v>0</v>
      </c>
      <c r="H231" s="104">
        <f t="shared" si="29"/>
        <v>650</v>
      </c>
      <c r="I231" s="104">
        <v>0</v>
      </c>
      <c r="J231" s="104">
        <v>0</v>
      </c>
      <c r="K231" s="147">
        <f t="shared" si="36"/>
        <v>650</v>
      </c>
      <c r="L231" s="104">
        <v>0</v>
      </c>
      <c r="M231" s="103">
        <v>0</v>
      </c>
      <c r="N231" s="102">
        <f t="shared" si="33"/>
        <v>650</v>
      </c>
      <c r="O231" s="104">
        <v>0</v>
      </c>
      <c r="P231" s="104">
        <v>0</v>
      </c>
      <c r="Q231" s="177">
        <f t="shared" si="38"/>
        <v>650</v>
      </c>
    </row>
    <row r="232" spans="1:17" ht="15" customHeight="1" x14ac:dyDescent="0.25">
      <c r="A232" s="61" t="s">
        <v>167</v>
      </c>
      <c r="B232" s="53" t="s">
        <v>119</v>
      </c>
      <c r="C232" s="109">
        <v>40</v>
      </c>
      <c r="D232" s="109">
        <v>0</v>
      </c>
      <c r="E232" s="105">
        <v>0</v>
      </c>
      <c r="F232" s="104">
        <f t="shared" si="39"/>
        <v>40</v>
      </c>
      <c r="G232" s="104">
        <v>0</v>
      </c>
      <c r="H232" s="104">
        <f t="shared" si="29"/>
        <v>40</v>
      </c>
      <c r="I232" s="104">
        <v>0</v>
      </c>
      <c r="J232" s="104">
        <v>0</v>
      </c>
      <c r="K232" s="147">
        <f t="shared" si="36"/>
        <v>40</v>
      </c>
      <c r="L232" s="104">
        <v>0</v>
      </c>
      <c r="M232" s="103">
        <v>0</v>
      </c>
      <c r="N232" s="102">
        <f t="shared" si="33"/>
        <v>40</v>
      </c>
      <c r="O232" s="104">
        <v>0</v>
      </c>
      <c r="P232" s="104">
        <v>0</v>
      </c>
      <c r="Q232" s="177">
        <f t="shared" si="38"/>
        <v>40</v>
      </c>
    </row>
    <row r="233" spans="1:17" ht="15" customHeight="1" x14ac:dyDescent="0.25">
      <c r="A233" s="61" t="s">
        <v>167</v>
      </c>
      <c r="B233" s="53" t="s">
        <v>362</v>
      </c>
      <c r="C233" s="109">
        <v>0</v>
      </c>
      <c r="D233" s="109"/>
      <c r="E233" s="105"/>
      <c r="F233" s="104"/>
      <c r="G233" s="104"/>
      <c r="H233" s="104"/>
      <c r="I233" s="104"/>
      <c r="J233" s="104"/>
      <c r="K233" s="147">
        <v>0</v>
      </c>
      <c r="L233" s="104">
        <v>0</v>
      </c>
      <c r="M233" s="103">
        <f>105</f>
        <v>105</v>
      </c>
      <c r="N233" s="102">
        <f>SUM(K233:M233)</f>
        <v>105</v>
      </c>
      <c r="O233" s="104">
        <v>0</v>
      </c>
      <c r="P233" s="104">
        <v>0</v>
      </c>
      <c r="Q233" s="177">
        <f t="shared" si="38"/>
        <v>105</v>
      </c>
    </row>
    <row r="234" spans="1:17" ht="15" customHeight="1" x14ac:dyDescent="0.25">
      <c r="A234" s="17" t="s">
        <v>168</v>
      </c>
      <c r="B234" s="53" t="s">
        <v>119</v>
      </c>
      <c r="C234" s="109">
        <v>20</v>
      </c>
      <c r="D234" s="109">
        <v>0</v>
      </c>
      <c r="E234" s="105">
        <v>0</v>
      </c>
      <c r="F234" s="104">
        <f t="shared" si="39"/>
        <v>20</v>
      </c>
      <c r="G234" s="104">
        <v>0</v>
      </c>
      <c r="H234" s="104">
        <f t="shared" si="29"/>
        <v>20</v>
      </c>
      <c r="I234" s="104">
        <v>0</v>
      </c>
      <c r="J234" s="104">
        <v>0</v>
      </c>
      <c r="K234" s="147">
        <f t="shared" si="36"/>
        <v>20</v>
      </c>
      <c r="L234" s="104">
        <v>0</v>
      </c>
      <c r="M234" s="103">
        <v>0</v>
      </c>
      <c r="N234" s="102">
        <f t="shared" si="33"/>
        <v>20</v>
      </c>
      <c r="O234" s="104">
        <v>0</v>
      </c>
      <c r="P234" s="104">
        <v>0</v>
      </c>
      <c r="Q234" s="177">
        <f t="shared" si="38"/>
        <v>20</v>
      </c>
    </row>
    <row r="235" spans="1:17" ht="51.75" customHeight="1" x14ac:dyDescent="0.25">
      <c r="A235" s="61" t="s">
        <v>169</v>
      </c>
      <c r="B235" s="53" t="s">
        <v>112</v>
      </c>
      <c r="C235" s="109">
        <v>22</v>
      </c>
      <c r="D235" s="109">
        <v>0</v>
      </c>
      <c r="E235" s="105">
        <v>0</v>
      </c>
      <c r="F235" s="104">
        <f t="shared" si="39"/>
        <v>22</v>
      </c>
      <c r="G235" s="104">
        <v>0</v>
      </c>
      <c r="H235" s="104">
        <f t="shared" si="29"/>
        <v>22</v>
      </c>
      <c r="I235" s="104">
        <v>0</v>
      </c>
      <c r="J235" s="104">
        <v>0</v>
      </c>
      <c r="K235" s="147">
        <f t="shared" si="36"/>
        <v>22</v>
      </c>
      <c r="L235" s="104">
        <f>-13.81</f>
        <v>-13.81</v>
      </c>
      <c r="M235" s="103">
        <v>0</v>
      </c>
      <c r="N235" s="102">
        <f t="shared" si="33"/>
        <v>8.19</v>
      </c>
      <c r="O235" s="104">
        <v>0</v>
      </c>
      <c r="P235" s="104">
        <v>0</v>
      </c>
      <c r="Q235" s="177">
        <f t="shared" si="38"/>
        <v>8.19</v>
      </c>
    </row>
    <row r="236" spans="1:17" ht="18.75" customHeight="1" x14ac:dyDescent="0.25">
      <c r="A236" s="61" t="s">
        <v>170</v>
      </c>
      <c r="B236" s="53" t="s">
        <v>119</v>
      </c>
      <c r="C236" s="109">
        <v>10</v>
      </c>
      <c r="D236" s="109">
        <v>0</v>
      </c>
      <c r="E236" s="105">
        <v>0</v>
      </c>
      <c r="F236" s="104">
        <f t="shared" si="39"/>
        <v>10</v>
      </c>
      <c r="G236" s="104">
        <v>0</v>
      </c>
      <c r="H236" s="104">
        <f t="shared" si="29"/>
        <v>10</v>
      </c>
      <c r="I236" s="104">
        <v>0</v>
      </c>
      <c r="J236" s="104">
        <v>0</v>
      </c>
      <c r="K236" s="147">
        <f t="shared" si="36"/>
        <v>10</v>
      </c>
      <c r="L236" s="104">
        <v>0</v>
      </c>
      <c r="M236" s="103">
        <v>0</v>
      </c>
      <c r="N236" s="102">
        <f t="shared" si="33"/>
        <v>10</v>
      </c>
      <c r="O236" s="104">
        <v>0</v>
      </c>
      <c r="P236" s="104">
        <v>0</v>
      </c>
      <c r="Q236" s="177">
        <f t="shared" si="38"/>
        <v>10</v>
      </c>
    </row>
    <row r="237" spans="1:17" ht="18.75" customHeight="1" x14ac:dyDescent="0.25">
      <c r="A237" s="61" t="s">
        <v>387</v>
      </c>
      <c r="B237" s="53" t="s">
        <v>388</v>
      </c>
      <c r="C237" s="109">
        <v>0</v>
      </c>
      <c r="D237" s="109"/>
      <c r="E237" s="105"/>
      <c r="F237" s="104"/>
      <c r="G237" s="104"/>
      <c r="H237" s="104"/>
      <c r="I237" s="104"/>
      <c r="J237" s="104"/>
      <c r="K237" s="147"/>
      <c r="L237" s="104"/>
      <c r="M237" s="103"/>
      <c r="N237" s="102">
        <v>0</v>
      </c>
      <c r="O237" s="104">
        <v>0</v>
      </c>
      <c r="P237" s="104">
        <v>10</v>
      </c>
      <c r="Q237" s="177">
        <f>SUM(N237:P237)</f>
        <v>10</v>
      </c>
    </row>
    <row r="238" spans="1:17" ht="15" customHeight="1" x14ac:dyDescent="0.25">
      <c r="A238" s="61" t="s">
        <v>171</v>
      </c>
      <c r="B238" s="53" t="s">
        <v>36</v>
      </c>
      <c r="C238" s="109">
        <v>50</v>
      </c>
      <c r="D238" s="109">
        <v>0</v>
      </c>
      <c r="E238" s="105">
        <v>0</v>
      </c>
      <c r="F238" s="104">
        <f t="shared" si="39"/>
        <v>50</v>
      </c>
      <c r="G238" s="104">
        <v>0</v>
      </c>
      <c r="H238" s="104">
        <f t="shared" si="29"/>
        <v>50</v>
      </c>
      <c r="I238" s="104">
        <v>0</v>
      </c>
      <c r="J238" s="104">
        <v>0</v>
      </c>
      <c r="K238" s="147">
        <f t="shared" si="36"/>
        <v>50</v>
      </c>
      <c r="L238" s="104">
        <v>0</v>
      </c>
      <c r="M238" s="103">
        <v>0</v>
      </c>
      <c r="N238" s="102">
        <f t="shared" si="33"/>
        <v>50</v>
      </c>
      <c r="O238" s="104">
        <v>0</v>
      </c>
      <c r="P238" s="104">
        <v>0</v>
      </c>
      <c r="Q238" s="177">
        <f t="shared" si="38"/>
        <v>50</v>
      </c>
    </row>
    <row r="239" spans="1:17" ht="15" customHeight="1" x14ac:dyDescent="0.25">
      <c r="A239" s="61" t="s">
        <v>316</v>
      </c>
      <c r="B239" s="53" t="s">
        <v>36</v>
      </c>
      <c r="C239" s="109">
        <v>0</v>
      </c>
      <c r="D239" s="109"/>
      <c r="E239" s="105"/>
      <c r="F239" s="104">
        <v>0</v>
      </c>
      <c r="G239" s="104">
        <f>250</f>
        <v>250</v>
      </c>
      <c r="H239" s="104">
        <f>SUM(F239:G239)</f>
        <v>250</v>
      </c>
      <c r="I239" s="104">
        <v>0</v>
      </c>
      <c r="J239" s="104">
        <v>0</v>
      </c>
      <c r="K239" s="147">
        <f t="shared" si="36"/>
        <v>250</v>
      </c>
      <c r="L239" s="104">
        <v>0</v>
      </c>
      <c r="M239" s="103">
        <v>0</v>
      </c>
      <c r="N239" s="102">
        <f t="shared" si="33"/>
        <v>250</v>
      </c>
      <c r="O239" s="104">
        <v>0</v>
      </c>
      <c r="P239" s="104">
        <v>0</v>
      </c>
      <c r="Q239" s="177">
        <f t="shared" si="38"/>
        <v>250</v>
      </c>
    </row>
    <row r="240" spans="1:17" ht="26.25" customHeight="1" x14ac:dyDescent="0.25">
      <c r="A240" s="61" t="s">
        <v>328</v>
      </c>
      <c r="B240" s="53" t="s">
        <v>36</v>
      </c>
      <c r="C240" s="109">
        <v>0</v>
      </c>
      <c r="D240" s="109"/>
      <c r="E240" s="105"/>
      <c r="F240" s="104">
        <v>0</v>
      </c>
      <c r="G240" s="104">
        <f>20</f>
        <v>20</v>
      </c>
      <c r="H240" s="104">
        <f>SUM(F240:G240)</f>
        <v>20</v>
      </c>
      <c r="I240" s="104">
        <v>0</v>
      </c>
      <c r="J240" s="104">
        <v>0</v>
      </c>
      <c r="K240" s="147">
        <f t="shared" si="36"/>
        <v>20</v>
      </c>
      <c r="L240" s="104">
        <v>0</v>
      </c>
      <c r="M240" s="103">
        <v>0</v>
      </c>
      <c r="N240" s="102">
        <f t="shared" si="33"/>
        <v>20</v>
      </c>
      <c r="O240" s="104">
        <v>0</v>
      </c>
      <c r="P240" s="104">
        <v>0</v>
      </c>
      <c r="Q240" s="177">
        <f t="shared" si="38"/>
        <v>20</v>
      </c>
    </row>
    <row r="241" spans="1:18" ht="15" customHeight="1" x14ac:dyDescent="0.25">
      <c r="A241" s="61" t="s">
        <v>329</v>
      </c>
      <c r="B241" s="53" t="s">
        <v>330</v>
      </c>
      <c r="C241" s="109">
        <v>0</v>
      </c>
      <c r="D241" s="109"/>
      <c r="E241" s="105"/>
      <c r="F241" s="104">
        <v>0</v>
      </c>
      <c r="G241" s="104">
        <f>33</f>
        <v>33</v>
      </c>
      <c r="H241" s="104">
        <f>SUM(F241:G241)</f>
        <v>33</v>
      </c>
      <c r="I241" s="104">
        <v>0</v>
      </c>
      <c r="J241" s="104">
        <v>0</v>
      </c>
      <c r="K241" s="147">
        <f t="shared" si="36"/>
        <v>33</v>
      </c>
      <c r="L241" s="104">
        <v>0</v>
      </c>
      <c r="M241" s="103">
        <v>0</v>
      </c>
      <c r="N241" s="102">
        <f t="shared" si="33"/>
        <v>33</v>
      </c>
      <c r="O241" s="104">
        <v>0</v>
      </c>
      <c r="P241" s="104">
        <v>0</v>
      </c>
      <c r="Q241" s="177">
        <f t="shared" si="38"/>
        <v>33</v>
      </c>
    </row>
    <row r="242" spans="1:18" ht="15.75" customHeight="1" x14ac:dyDescent="0.25">
      <c r="A242" s="17" t="s">
        <v>172</v>
      </c>
      <c r="B242" s="53" t="s">
        <v>36</v>
      </c>
      <c r="C242" s="109">
        <v>668</v>
      </c>
      <c r="D242" s="109">
        <v>0</v>
      </c>
      <c r="E242" s="105">
        <v>0</v>
      </c>
      <c r="F242" s="104">
        <f t="shared" si="39"/>
        <v>668</v>
      </c>
      <c r="G242" s="104">
        <v>0</v>
      </c>
      <c r="H242" s="104">
        <f t="shared" si="29"/>
        <v>668</v>
      </c>
      <c r="I242" s="104">
        <v>0</v>
      </c>
      <c r="J242" s="104">
        <v>0</v>
      </c>
      <c r="K242" s="147">
        <f t="shared" si="36"/>
        <v>668</v>
      </c>
      <c r="L242" s="104">
        <v>0</v>
      </c>
      <c r="M242" s="103">
        <v>0</v>
      </c>
      <c r="N242" s="102">
        <f t="shared" si="33"/>
        <v>668</v>
      </c>
      <c r="O242" s="104">
        <v>0</v>
      </c>
      <c r="P242" s="104">
        <v>0</v>
      </c>
      <c r="Q242" s="177">
        <f t="shared" si="38"/>
        <v>668</v>
      </c>
    </row>
    <row r="243" spans="1:18" ht="15" customHeight="1" x14ac:dyDescent="0.25">
      <c r="A243" s="17" t="s">
        <v>173</v>
      </c>
      <c r="B243" s="53" t="s">
        <v>36</v>
      </c>
      <c r="C243" s="109">
        <v>526</v>
      </c>
      <c r="D243" s="109">
        <v>0</v>
      </c>
      <c r="E243" s="105">
        <v>0</v>
      </c>
      <c r="F243" s="104">
        <f t="shared" si="39"/>
        <v>526</v>
      </c>
      <c r="G243" s="104">
        <v>0</v>
      </c>
      <c r="H243" s="104">
        <f t="shared" si="29"/>
        <v>526</v>
      </c>
      <c r="I243" s="104">
        <v>0</v>
      </c>
      <c r="J243" s="104">
        <v>0</v>
      </c>
      <c r="K243" s="147">
        <f t="shared" si="36"/>
        <v>526</v>
      </c>
      <c r="L243" s="104">
        <v>0</v>
      </c>
      <c r="M243" s="103">
        <v>0</v>
      </c>
      <c r="N243" s="102">
        <f t="shared" si="33"/>
        <v>526</v>
      </c>
      <c r="O243" s="104">
        <v>0</v>
      </c>
      <c r="P243" s="104">
        <v>0</v>
      </c>
      <c r="Q243" s="177">
        <f t="shared" si="38"/>
        <v>526</v>
      </c>
    </row>
    <row r="244" spans="1:18" ht="15" customHeight="1" x14ac:dyDescent="0.25">
      <c r="A244" s="17" t="s">
        <v>174</v>
      </c>
      <c r="B244" s="53" t="s">
        <v>36</v>
      </c>
      <c r="C244" s="109">
        <v>110</v>
      </c>
      <c r="D244" s="109">
        <v>0</v>
      </c>
      <c r="E244" s="105">
        <v>0</v>
      </c>
      <c r="F244" s="104">
        <f t="shared" si="39"/>
        <v>110</v>
      </c>
      <c r="G244" s="104">
        <v>0</v>
      </c>
      <c r="H244" s="104">
        <f t="shared" si="29"/>
        <v>110</v>
      </c>
      <c r="I244" s="104">
        <v>0</v>
      </c>
      <c r="J244" s="104">
        <v>0</v>
      </c>
      <c r="K244" s="147">
        <f t="shared" si="36"/>
        <v>110</v>
      </c>
      <c r="L244" s="104">
        <v>0</v>
      </c>
      <c r="M244" s="103">
        <v>0</v>
      </c>
      <c r="N244" s="102">
        <f t="shared" si="33"/>
        <v>110</v>
      </c>
      <c r="O244" s="104">
        <v>0</v>
      </c>
      <c r="P244" s="104">
        <v>0</v>
      </c>
      <c r="Q244" s="177">
        <f t="shared" si="38"/>
        <v>110</v>
      </c>
    </row>
    <row r="245" spans="1:18" ht="15" customHeight="1" x14ac:dyDescent="0.25">
      <c r="A245" s="17" t="s">
        <v>175</v>
      </c>
      <c r="B245" s="53" t="s">
        <v>36</v>
      </c>
      <c r="C245" s="109">
        <v>476</v>
      </c>
      <c r="D245" s="109">
        <v>0</v>
      </c>
      <c r="E245" s="105">
        <v>0</v>
      </c>
      <c r="F245" s="104">
        <f t="shared" si="39"/>
        <v>476</v>
      </c>
      <c r="G245" s="104">
        <v>0</v>
      </c>
      <c r="H245" s="104">
        <f t="shared" si="29"/>
        <v>476</v>
      </c>
      <c r="I245" s="104">
        <v>0</v>
      </c>
      <c r="J245" s="104">
        <v>0</v>
      </c>
      <c r="K245" s="147">
        <f t="shared" si="36"/>
        <v>476</v>
      </c>
      <c r="L245" s="104">
        <v>0</v>
      </c>
      <c r="M245" s="103">
        <v>0</v>
      </c>
      <c r="N245" s="102">
        <f t="shared" si="33"/>
        <v>476</v>
      </c>
      <c r="O245" s="104">
        <v>0</v>
      </c>
      <c r="P245" s="104">
        <v>0</v>
      </c>
      <c r="Q245" s="177">
        <f t="shared" si="38"/>
        <v>476</v>
      </c>
    </row>
    <row r="246" spans="1:18" ht="15" customHeight="1" x14ac:dyDescent="0.25">
      <c r="A246" s="17" t="s">
        <v>176</v>
      </c>
      <c r="B246" s="53" t="s">
        <v>36</v>
      </c>
      <c r="C246" s="109">
        <v>100</v>
      </c>
      <c r="D246" s="109">
        <v>0</v>
      </c>
      <c r="E246" s="105">
        <v>0</v>
      </c>
      <c r="F246" s="104">
        <f t="shared" si="39"/>
        <v>100</v>
      </c>
      <c r="G246" s="104">
        <v>50</v>
      </c>
      <c r="H246" s="104">
        <f t="shared" si="29"/>
        <v>150</v>
      </c>
      <c r="I246" s="104">
        <v>0</v>
      </c>
      <c r="J246" s="104">
        <v>0</v>
      </c>
      <c r="K246" s="147">
        <f t="shared" si="36"/>
        <v>150</v>
      </c>
      <c r="L246" s="104">
        <v>0</v>
      </c>
      <c r="M246" s="103">
        <v>0</v>
      </c>
      <c r="N246" s="102">
        <f t="shared" si="33"/>
        <v>150</v>
      </c>
      <c r="O246" s="104">
        <v>0</v>
      </c>
      <c r="P246" s="104">
        <v>0</v>
      </c>
      <c r="Q246" s="177">
        <f t="shared" si="38"/>
        <v>150</v>
      </c>
    </row>
    <row r="247" spans="1:18" ht="24.75" customHeight="1" x14ac:dyDescent="0.25">
      <c r="A247" s="17" t="s">
        <v>347</v>
      </c>
      <c r="B247" s="53" t="s">
        <v>36</v>
      </c>
      <c r="C247" s="109">
        <v>0</v>
      </c>
      <c r="D247" s="109"/>
      <c r="E247" s="105"/>
      <c r="F247" s="104"/>
      <c r="G247" s="104"/>
      <c r="H247" s="104">
        <v>0</v>
      </c>
      <c r="I247" s="104">
        <v>0</v>
      </c>
      <c r="J247" s="104">
        <f>20</f>
        <v>20</v>
      </c>
      <c r="K247" s="147">
        <f>SUM(H247:J247)</f>
        <v>20</v>
      </c>
      <c r="L247" s="104">
        <v>0</v>
      </c>
      <c r="M247" s="103">
        <v>0</v>
      </c>
      <c r="N247" s="102">
        <f t="shared" si="33"/>
        <v>20</v>
      </c>
      <c r="O247" s="104">
        <v>0</v>
      </c>
      <c r="P247" s="104">
        <v>0</v>
      </c>
      <c r="Q247" s="177">
        <f t="shared" si="38"/>
        <v>20</v>
      </c>
    </row>
    <row r="248" spans="1:18" ht="13.5" customHeight="1" x14ac:dyDescent="0.25">
      <c r="A248" s="33" t="s">
        <v>177</v>
      </c>
      <c r="B248" s="53" t="s">
        <v>36</v>
      </c>
      <c r="C248" s="109">
        <v>200</v>
      </c>
      <c r="D248" s="109">
        <v>0</v>
      </c>
      <c r="E248" s="105">
        <v>0</v>
      </c>
      <c r="F248" s="104">
        <f t="shared" si="39"/>
        <v>200</v>
      </c>
      <c r="G248" s="104">
        <v>0</v>
      </c>
      <c r="H248" s="104">
        <f t="shared" ref="H248:H324" si="40">SUM(F248:G248)</f>
        <v>200</v>
      </c>
      <c r="I248" s="104">
        <v>0</v>
      </c>
      <c r="J248" s="104">
        <v>0</v>
      </c>
      <c r="K248" s="147">
        <f t="shared" si="36"/>
        <v>200</v>
      </c>
      <c r="L248" s="104">
        <v>0</v>
      </c>
      <c r="M248" s="103">
        <v>0</v>
      </c>
      <c r="N248" s="102">
        <f t="shared" si="33"/>
        <v>200</v>
      </c>
      <c r="O248" s="104">
        <v>0</v>
      </c>
      <c r="P248" s="104">
        <v>0</v>
      </c>
      <c r="Q248" s="177">
        <f t="shared" si="38"/>
        <v>200</v>
      </c>
    </row>
    <row r="249" spans="1:18" ht="15" customHeight="1" x14ac:dyDescent="0.25">
      <c r="A249" s="17" t="s">
        <v>178</v>
      </c>
      <c r="B249" s="53" t="s">
        <v>36</v>
      </c>
      <c r="C249" s="109">
        <v>100</v>
      </c>
      <c r="D249" s="109">
        <v>0</v>
      </c>
      <c r="E249" s="105">
        <v>0</v>
      </c>
      <c r="F249" s="104">
        <f t="shared" si="39"/>
        <v>100</v>
      </c>
      <c r="G249" s="104">
        <v>0</v>
      </c>
      <c r="H249" s="104">
        <f t="shared" si="40"/>
        <v>100</v>
      </c>
      <c r="I249" s="104">
        <v>0</v>
      </c>
      <c r="J249" s="104">
        <v>0</v>
      </c>
      <c r="K249" s="147">
        <f t="shared" si="36"/>
        <v>100</v>
      </c>
      <c r="L249" s="104">
        <v>0</v>
      </c>
      <c r="M249" s="103">
        <v>0</v>
      </c>
      <c r="N249" s="102">
        <f>SUM(K249:M249)</f>
        <v>100</v>
      </c>
      <c r="O249" s="104">
        <v>0</v>
      </c>
      <c r="P249" s="104">
        <v>0</v>
      </c>
      <c r="Q249" s="177">
        <f t="shared" si="38"/>
        <v>100</v>
      </c>
    </row>
    <row r="250" spans="1:18" ht="15" customHeight="1" x14ac:dyDescent="0.25">
      <c r="A250" s="17" t="s">
        <v>368</v>
      </c>
      <c r="B250" s="53" t="s">
        <v>332</v>
      </c>
      <c r="C250" s="109">
        <v>0</v>
      </c>
      <c r="D250" s="109"/>
      <c r="E250" s="105"/>
      <c r="F250" s="104"/>
      <c r="G250" s="104"/>
      <c r="H250" s="104"/>
      <c r="I250" s="104"/>
      <c r="J250" s="104"/>
      <c r="K250" s="115">
        <v>0</v>
      </c>
      <c r="L250" s="104">
        <v>0</v>
      </c>
      <c r="M250" s="105">
        <f>60</f>
        <v>60</v>
      </c>
      <c r="N250" s="104">
        <f>SUM(K250:M250)</f>
        <v>60</v>
      </c>
      <c r="O250" s="104">
        <v>0</v>
      </c>
      <c r="P250" s="104">
        <v>0</v>
      </c>
      <c r="Q250" s="177">
        <f t="shared" si="38"/>
        <v>60</v>
      </c>
    </row>
    <row r="251" spans="1:18" ht="15" customHeight="1" x14ac:dyDescent="0.25">
      <c r="A251" s="17" t="s">
        <v>367</v>
      </c>
      <c r="B251" s="53" t="s">
        <v>36</v>
      </c>
      <c r="C251" s="109">
        <v>0</v>
      </c>
      <c r="D251" s="109"/>
      <c r="E251" s="105"/>
      <c r="F251" s="104"/>
      <c r="G251" s="104"/>
      <c r="H251" s="104"/>
      <c r="I251" s="104"/>
      <c r="J251" s="104"/>
      <c r="K251" s="115">
        <v>0</v>
      </c>
      <c r="L251" s="104">
        <v>0</v>
      </c>
      <c r="M251" s="105">
        <f>20</f>
        <v>20</v>
      </c>
      <c r="N251" s="104">
        <f>SUM(K251:M251)</f>
        <v>20</v>
      </c>
      <c r="O251" s="104">
        <v>0</v>
      </c>
      <c r="P251" s="104">
        <v>0</v>
      </c>
      <c r="Q251" s="177">
        <f t="shared" si="38"/>
        <v>20</v>
      </c>
    </row>
    <row r="252" spans="1:18" ht="15" customHeight="1" x14ac:dyDescent="0.25">
      <c r="A252" s="17" t="s">
        <v>392</v>
      </c>
      <c r="B252" s="53" t="s">
        <v>36</v>
      </c>
      <c r="C252" s="109">
        <v>0</v>
      </c>
      <c r="D252" s="109"/>
      <c r="E252" s="105"/>
      <c r="F252" s="104"/>
      <c r="G252" s="104"/>
      <c r="H252" s="104"/>
      <c r="I252" s="104"/>
      <c r="J252" s="104"/>
      <c r="K252" s="115"/>
      <c r="L252" s="104"/>
      <c r="M252" s="103"/>
      <c r="N252" s="102">
        <v>0</v>
      </c>
      <c r="O252" s="104">
        <v>0</v>
      </c>
      <c r="P252" s="104">
        <f>90</f>
        <v>90</v>
      </c>
      <c r="Q252" s="177">
        <f>SUM(N252:P252)</f>
        <v>90</v>
      </c>
    </row>
    <row r="253" spans="1:18" ht="15" customHeight="1" x14ac:dyDescent="0.25">
      <c r="A253" s="17" t="s">
        <v>369</v>
      </c>
      <c r="B253" s="53" t="s">
        <v>36</v>
      </c>
      <c r="C253" s="109">
        <v>0</v>
      </c>
      <c r="D253" s="109"/>
      <c r="E253" s="105"/>
      <c r="F253" s="104"/>
      <c r="G253" s="104"/>
      <c r="H253" s="104"/>
      <c r="I253" s="104"/>
      <c r="J253" s="104"/>
      <c r="K253" s="115">
        <v>0</v>
      </c>
      <c r="L253" s="104">
        <v>0</v>
      </c>
      <c r="M253" s="103">
        <f>20</f>
        <v>20</v>
      </c>
      <c r="N253" s="102">
        <f>SUM(K253:M253)</f>
        <v>20</v>
      </c>
      <c r="O253" s="104">
        <v>0</v>
      </c>
      <c r="P253" s="104">
        <v>0</v>
      </c>
      <c r="Q253" s="177">
        <f t="shared" si="38"/>
        <v>20</v>
      </c>
    </row>
    <row r="254" spans="1:18" ht="15" customHeight="1" x14ac:dyDescent="0.25">
      <c r="A254" s="17" t="s">
        <v>331</v>
      </c>
      <c r="B254" s="53" t="s">
        <v>332</v>
      </c>
      <c r="C254" s="109">
        <v>0</v>
      </c>
      <c r="D254" s="109"/>
      <c r="E254" s="105"/>
      <c r="F254" s="104"/>
      <c r="G254" s="104"/>
      <c r="H254" s="104">
        <v>0</v>
      </c>
      <c r="I254" s="104">
        <v>520</v>
      </c>
      <c r="J254" s="104">
        <v>0</v>
      </c>
      <c r="K254" s="115">
        <f t="shared" si="36"/>
        <v>520</v>
      </c>
      <c r="L254" s="104">
        <v>0</v>
      </c>
      <c r="M254" s="103">
        <v>0</v>
      </c>
      <c r="N254" s="102">
        <f t="shared" ref="N254:N317" si="41">SUM(K254:M254)</f>
        <v>520</v>
      </c>
      <c r="O254" s="104">
        <v>0</v>
      </c>
      <c r="P254" s="104">
        <v>0</v>
      </c>
      <c r="Q254" s="177">
        <f t="shared" si="38"/>
        <v>520</v>
      </c>
    </row>
    <row r="255" spans="1:18" ht="16.5" customHeight="1" thickBot="1" x14ac:dyDescent="0.3">
      <c r="A255" s="55" t="s">
        <v>179</v>
      </c>
      <c r="B255" s="100"/>
      <c r="C255" s="111">
        <v>8793.5</v>
      </c>
      <c r="D255" s="111">
        <f>-20</f>
        <v>-20</v>
      </c>
      <c r="E255" s="107">
        <v>6135</v>
      </c>
      <c r="F255" s="106">
        <f t="shared" si="39"/>
        <v>14908.5</v>
      </c>
      <c r="G255" s="106">
        <f>-250-103</f>
        <v>-353</v>
      </c>
      <c r="H255" s="106">
        <f t="shared" si="40"/>
        <v>14555.5</v>
      </c>
      <c r="I255" s="106">
        <v>877.6</v>
      </c>
      <c r="J255" s="106">
        <f>-39.5+40</f>
        <v>0.5</v>
      </c>
      <c r="K255" s="113">
        <f t="shared" si="36"/>
        <v>15433.6</v>
      </c>
      <c r="L255" s="106">
        <f>-441</f>
        <v>-441</v>
      </c>
      <c r="M255" s="107">
        <f>-205</f>
        <v>-205</v>
      </c>
      <c r="N255" s="106">
        <f t="shared" si="41"/>
        <v>14787.6</v>
      </c>
      <c r="O255" s="106">
        <v>0</v>
      </c>
      <c r="P255" s="106">
        <f>-60-90</f>
        <v>-150</v>
      </c>
      <c r="Q255" s="186">
        <f t="shared" si="38"/>
        <v>14637.6</v>
      </c>
    </row>
    <row r="256" spans="1:18" ht="16.5" customHeight="1" thickBot="1" x14ac:dyDescent="0.3">
      <c r="A256" s="56" t="s">
        <v>180</v>
      </c>
      <c r="B256" s="50"/>
      <c r="C256" s="42">
        <f>SUM(C258:C259)</f>
        <v>300</v>
      </c>
      <c r="D256" s="42">
        <f t="shared" ref="D256:G256" si="42">SUM(D259)</f>
        <v>4619</v>
      </c>
      <c r="E256" s="88">
        <f t="shared" si="42"/>
        <v>486</v>
      </c>
      <c r="F256" s="42">
        <f t="shared" si="42"/>
        <v>5405</v>
      </c>
      <c r="G256" s="42">
        <f t="shared" si="42"/>
        <v>-599</v>
      </c>
      <c r="H256" s="42">
        <f>SUM(H258:H259)</f>
        <v>4806</v>
      </c>
      <c r="I256" s="42">
        <f>SUM(I258:I259)</f>
        <v>6361.23</v>
      </c>
      <c r="J256" s="42">
        <f>SUM(J258:J259)</f>
        <v>13611</v>
      </c>
      <c r="K256" s="153">
        <f>SUM(H256:J256)</f>
        <v>24778.23</v>
      </c>
      <c r="L256" s="123">
        <f>SUM(L258:L259)</f>
        <v>0</v>
      </c>
      <c r="M256" s="124">
        <f>SUM(M258:M259)</f>
        <v>50</v>
      </c>
      <c r="N256" s="123">
        <f t="shared" si="41"/>
        <v>24828.23</v>
      </c>
      <c r="O256" s="123">
        <f>SUM(O258:O259)</f>
        <v>0</v>
      </c>
      <c r="P256" s="123">
        <f>SUM(P258:P259)</f>
        <v>0</v>
      </c>
      <c r="Q256" s="176">
        <f t="shared" si="38"/>
        <v>24828.23</v>
      </c>
      <c r="R256" s="122"/>
    </row>
    <row r="257" spans="1:18" ht="12.75" customHeight="1" x14ac:dyDescent="0.25">
      <c r="A257" s="57" t="s">
        <v>27</v>
      </c>
      <c r="B257" s="47"/>
      <c r="C257" s="31"/>
      <c r="D257" s="31"/>
      <c r="E257" s="82"/>
      <c r="F257" s="16"/>
      <c r="G257" s="16"/>
      <c r="H257" s="102"/>
      <c r="I257" s="102"/>
      <c r="J257" s="102"/>
      <c r="K257" s="147"/>
      <c r="L257" s="102"/>
      <c r="M257" s="103"/>
      <c r="N257" s="102"/>
      <c r="O257" s="102"/>
      <c r="P257" s="102"/>
      <c r="Q257" s="169"/>
    </row>
    <row r="258" spans="1:18" ht="39" customHeight="1" x14ac:dyDescent="0.25">
      <c r="A258" s="17" t="s">
        <v>352</v>
      </c>
      <c r="B258" s="49"/>
      <c r="C258" s="109">
        <v>0</v>
      </c>
      <c r="D258" s="32"/>
      <c r="E258" s="83"/>
      <c r="F258" s="19"/>
      <c r="G258" s="19"/>
      <c r="H258" s="104">
        <v>0</v>
      </c>
      <c r="I258" s="104">
        <v>0</v>
      </c>
      <c r="J258" s="104">
        <f>200</f>
        <v>200</v>
      </c>
      <c r="K258" s="115">
        <f>SUM(H258:J258)</f>
        <v>200</v>
      </c>
      <c r="L258" s="104">
        <v>0</v>
      </c>
      <c r="M258" s="103">
        <v>0</v>
      </c>
      <c r="N258" s="102">
        <f t="shared" si="41"/>
        <v>200</v>
      </c>
      <c r="O258" s="104">
        <v>0</v>
      </c>
      <c r="P258" s="104">
        <v>0</v>
      </c>
      <c r="Q258" s="177">
        <f t="shared" si="38"/>
        <v>200</v>
      </c>
    </row>
    <row r="259" spans="1:18" ht="15.75" customHeight="1" thickBot="1" x14ac:dyDescent="0.3">
      <c r="A259" s="55" t="s">
        <v>181</v>
      </c>
      <c r="B259" s="45"/>
      <c r="C259" s="64">
        <v>300</v>
      </c>
      <c r="D259" s="64">
        <f>3559+992+68</f>
        <v>4619</v>
      </c>
      <c r="E259" s="84">
        <v>486</v>
      </c>
      <c r="F259" s="22">
        <f>SUM(C259:E259)</f>
        <v>5405</v>
      </c>
      <c r="G259" s="22">
        <f>-655+56</f>
        <v>-599</v>
      </c>
      <c r="H259" s="106">
        <f t="shared" si="40"/>
        <v>4806</v>
      </c>
      <c r="I259" s="106">
        <v>6361.23</v>
      </c>
      <c r="J259" s="106">
        <f>8411+5000</f>
        <v>13411</v>
      </c>
      <c r="K259" s="113">
        <f t="shared" si="36"/>
        <v>24578.23</v>
      </c>
      <c r="L259" s="106">
        <v>0</v>
      </c>
      <c r="M259" s="107">
        <f>12+38</f>
        <v>50</v>
      </c>
      <c r="N259" s="106">
        <f t="shared" si="41"/>
        <v>24628.23</v>
      </c>
      <c r="O259" s="106">
        <v>0</v>
      </c>
      <c r="P259" s="106">
        <v>0</v>
      </c>
      <c r="Q259" s="186">
        <f t="shared" si="38"/>
        <v>24628.23</v>
      </c>
    </row>
    <row r="260" spans="1:18" ht="18" customHeight="1" thickBot="1" x14ac:dyDescent="0.3">
      <c r="A260" s="56" t="s">
        <v>182</v>
      </c>
      <c r="B260" s="50"/>
      <c r="C260" s="42">
        <f t="shared" ref="C260:J260" si="43">SUM(C262:C283)</f>
        <v>18536.239999999998</v>
      </c>
      <c r="D260" s="42">
        <f t="shared" si="43"/>
        <v>408.98</v>
      </c>
      <c r="E260" s="88">
        <f t="shared" si="43"/>
        <v>0</v>
      </c>
      <c r="F260" s="42">
        <f t="shared" si="43"/>
        <v>18945.22</v>
      </c>
      <c r="G260" s="42">
        <f t="shared" si="43"/>
        <v>0</v>
      </c>
      <c r="H260" s="42">
        <f t="shared" si="43"/>
        <v>18945.22</v>
      </c>
      <c r="I260" s="42">
        <f t="shared" si="43"/>
        <v>200.83</v>
      </c>
      <c r="J260" s="42">
        <f t="shared" si="43"/>
        <v>1129.9099999999999</v>
      </c>
      <c r="K260" s="153">
        <f>SUM(K262:K283)</f>
        <v>20344.66</v>
      </c>
      <c r="L260" s="123">
        <f>SUM(L262:L283)</f>
        <v>236.60000000000002</v>
      </c>
      <c r="M260" s="124">
        <f>SUM(M262:M283)</f>
        <v>30.25</v>
      </c>
      <c r="N260" s="123">
        <f t="shared" si="41"/>
        <v>20611.509999999998</v>
      </c>
      <c r="O260" s="123">
        <f>SUM(O262:O283)</f>
        <v>0</v>
      </c>
      <c r="P260" s="123">
        <f>SUM(P262:P283)</f>
        <v>50</v>
      </c>
      <c r="Q260" s="176">
        <f t="shared" si="38"/>
        <v>20661.509999999998</v>
      </c>
      <c r="R260" s="122"/>
    </row>
    <row r="261" spans="1:18" ht="12.75" customHeight="1" x14ac:dyDescent="0.25">
      <c r="A261" s="57" t="s">
        <v>27</v>
      </c>
      <c r="B261" s="47"/>
      <c r="C261" s="31"/>
      <c r="D261" s="31"/>
      <c r="E261" s="82"/>
      <c r="F261" s="16"/>
      <c r="G261" s="16"/>
      <c r="H261" s="102"/>
      <c r="I261" s="102"/>
      <c r="J261" s="102"/>
      <c r="K261" s="147"/>
      <c r="L261" s="102"/>
      <c r="M261" s="103"/>
      <c r="N261" s="102"/>
      <c r="O261" s="102"/>
      <c r="P261" s="102"/>
      <c r="Q261" s="169"/>
    </row>
    <row r="262" spans="1:18" ht="26.25" customHeight="1" x14ac:dyDescent="0.25">
      <c r="A262" s="17" t="s">
        <v>183</v>
      </c>
      <c r="B262" s="53" t="s">
        <v>184</v>
      </c>
      <c r="C262" s="109">
        <v>860</v>
      </c>
      <c r="D262" s="109">
        <v>0</v>
      </c>
      <c r="E262" s="105">
        <v>-398</v>
      </c>
      <c r="F262" s="104">
        <f>SUM(C262:E262)</f>
        <v>462</v>
      </c>
      <c r="G262" s="106">
        <v>0</v>
      </c>
      <c r="H262" s="108">
        <f t="shared" si="40"/>
        <v>462</v>
      </c>
      <c r="I262" s="108">
        <v>0</v>
      </c>
      <c r="J262" s="108">
        <v>0</v>
      </c>
      <c r="K262" s="147">
        <f t="shared" si="36"/>
        <v>462</v>
      </c>
      <c r="L262" s="104">
        <f>-162</f>
        <v>-162</v>
      </c>
      <c r="M262" s="103">
        <v>0</v>
      </c>
      <c r="N262" s="102">
        <f t="shared" si="41"/>
        <v>300</v>
      </c>
      <c r="O262" s="104">
        <v>0</v>
      </c>
      <c r="P262" s="104">
        <v>0</v>
      </c>
      <c r="Q262" s="177">
        <f t="shared" si="38"/>
        <v>300</v>
      </c>
    </row>
    <row r="263" spans="1:18" ht="16.5" customHeight="1" x14ac:dyDescent="0.25">
      <c r="A263" s="17" t="s">
        <v>185</v>
      </c>
      <c r="B263" s="53" t="s">
        <v>186</v>
      </c>
      <c r="C263" s="109">
        <v>400</v>
      </c>
      <c r="D263" s="109">
        <v>0</v>
      </c>
      <c r="E263" s="105">
        <v>398</v>
      </c>
      <c r="F263" s="104">
        <f t="shared" ref="F263:F283" si="44">SUM(C263:E263)</f>
        <v>798</v>
      </c>
      <c r="G263" s="104">
        <v>0</v>
      </c>
      <c r="H263" s="104">
        <f t="shared" si="40"/>
        <v>798</v>
      </c>
      <c r="I263" s="104">
        <v>0</v>
      </c>
      <c r="J263" s="104">
        <v>0</v>
      </c>
      <c r="K263" s="147">
        <f t="shared" si="36"/>
        <v>798</v>
      </c>
      <c r="L263" s="104">
        <f>-53</f>
        <v>-53</v>
      </c>
      <c r="M263" s="103">
        <v>0</v>
      </c>
      <c r="N263" s="102">
        <f t="shared" si="41"/>
        <v>745</v>
      </c>
      <c r="O263" s="104">
        <v>0</v>
      </c>
      <c r="P263" s="104">
        <v>0</v>
      </c>
      <c r="Q263" s="177">
        <f t="shared" si="38"/>
        <v>745</v>
      </c>
    </row>
    <row r="264" spans="1:18" ht="26.25" customHeight="1" x14ac:dyDescent="0.25">
      <c r="A264" s="17" t="s">
        <v>187</v>
      </c>
      <c r="B264" s="53" t="s">
        <v>188</v>
      </c>
      <c r="C264" s="109">
        <v>300</v>
      </c>
      <c r="D264" s="109">
        <v>0</v>
      </c>
      <c r="E264" s="105">
        <v>0</v>
      </c>
      <c r="F264" s="104">
        <f t="shared" si="44"/>
        <v>300</v>
      </c>
      <c r="G264" s="104">
        <v>0</v>
      </c>
      <c r="H264" s="104">
        <f t="shared" si="40"/>
        <v>300</v>
      </c>
      <c r="I264" s="104">
        <v>0</v>
      </c>
      <c r="J264" s="104">
        <v>0</v>
      </c>
      <c r="K264" s="147">
        <f t="shared" si="36"/>
        <v>300</v>
      </c>
      <c r="L264" s="104">
        <f>-278.4</f>
        <v>-278.39999999999998</v>
      </c>
      <c r="M264" s="103">
        <v>0</v>
      </c>
      <c r="N264" s="102">
        <f t="shared" si="41"/>
        <v>21.600000000000023</v>
      </c>
      <c r="O264" s="104">
        <v>0</v>
      </c>
      <c r="P264" s="104">
        <v>0</v>
      </c>
      <c r="Q264" s="177">
        <f t="shared" si="38"/>
        <v>21.600000000000023</v>
      </c>
    </row>
    <row r="265" spans="1:18" ht="15" customHeight="1" x14ac:dyDescent="0.25">
      <c r="A265" s="17" t="s">
        <v>189</v>
      </c>
      <c r="B265" s="53" t="s">
        <v>36</v>
      </c>
      <c r="C265" s="109">
        <v>7502</v>
      </c>
      <c r="D265" s="109">
        <v>0</v>
      </c>
      <c r="E265" s="105">
        <v>0</v>
      </c>
      <c r="F265" s="104">
        <f t="shared" si="44"/>
        <v>7502</v>
      </c>
      <c r="G265" s="104">
        <v>0</v>
      </c>
      <c r="H265" s="104">
        <f t="shared" si="40"/>
        <v>7502</v>
      </c>
      <c r="I265" s="104">
        <v>0</v>
      </c>
      <c r="J265" s="104">
        <v>0</v>
      </c>
      <c r="K265" s="147">
        <f t="shared" si="36"/>
        <v>7502</v>
      </c>
      <c r="L265" s="104">
        <v>0</v>
      </c>
      <c r="M265" s="103">
        <v>0</v>
      </c>
      <c r="N265" s="102">
        <f t="shared" si="41"/>
        <v>7502</v>
      </c>
      <c r="O265" s="104">
        <v>0</v>
      </c>
      <c r="P265" s="104">
        <v>0</v>
      </c>
      <c r="Q265" s="177">
        <f t="shared" si="38"/>
        <v>7502</v>
      </c>
    </row>
    <row r="266" spans="1:18" ht="15" customHeight="1" x14ac:dyDescent="0.25">
      <c r="A266" s="17" t="s">
        <v>357</v>
      </c>
      <c r="B266" s="53" t="s">
        <v>267</v>
      </c>
      <c r="C266" s="109">
        <v>0</v>
      </c>
      <c r="D266" s="109"/>
      <c r="E266" s="105"/>
      <c r="F266" s="104"/>
      <c r="G266" s="104"/>
      <c r="H266" s="104">
        <v>0</v>
      </c>
      <c r="I266" s="104">
        <v>0</v>
      </c>
      <c r="J266" s="104">
        <f>40</f>
        <v>40</v>
      </c>
      <c r="K266" s="147">
        <f>SUM(H266:J266)</f>
        <v>40</v>
      </c>
      <c r="L266" s="104">
        <v>0</v>
      </c>
      <c r="M266" s="103">
        <v>0</v>
      </c>
      <c r="N266" s="102">
        <f t="shared" si="41"/>
        <v>40</v>
      </c>
      <c r="O266" s="104">
        <v>0</v>
      </c>
      <c r="P266" s="104">
        <v>0</v>
      </c>
      <c r="Q266" s="177">
        <f>SUM(N266:P266)</f>
        <v>40</v>
      </c>
    </row>
    <row r="267" spans="1:18" ht="15" customHeight="1" x14ac:dyDescent="0.25">
      <c r="A267" s="17" t="s">
        <v>389</v>
      </c>
      <c r="B267" s="53" t="s">
        <v>267</v>
      </c>
      <c r="C267" s="109">
        <v>0</v>
      </c>
      <c r="D267" s="109"/>
      <c r="E267" s="105"/>
      <c r="F267" s="104"/>
      <c r="G267" s="104"/>
      <c r="H267" s="104"/>
      <c r="I267" s="104"/>
      <c r="J267" s="104"/>
      <c r="K267" s="147"/>
      <c r="L267" s="104"/>
      <c r="M267" s="103"/>
      <c r="N267" s="102">
        <v>0</v>
      </c>
      <c r="O267" s="104">
        <v>0</v>
      </c>
      <c r="P267" s="104">
        <f>50</f>
        <v>50</v>
      </c>
      <c r="Q267" s="177">
        <f>SUM(N267:P267)</f>
        <v>50</v>
      </c>
    </row>
    <row r="268" spans="1:18" ht="26.25" customHeight="1" x14ac:dyDescent="0.25">
      <c r="A268" s="17" t="s">
        <v>190</v>
      </c>
      <c r="B268" s="53" t="s">
        <v>36</v>
      </c>
      <c r="C268" s="109">
        <v>850</v>
      </c>
      <c r="D268" s="109">
        <v>0</v>
      </c>
      <c r="E268" s="105">
        <v>0</v>
      </c>
      <c r="F268" s="104">
        <f t="shared" si="44"/>
        <v>850</v>
      </c>
      <c r="G268" s="104">
        <v>0</v>
      </c>
      <c r="H268" s="104">
        <f t="shared" si="40"/>
        <v>850</v>
      </c>
      <c r="I268" s="104">
        <v>0</v>
      </c>
      <c r="J268" s="104">
        <v>0</v>
      </c>
      <c r="K268" s="147">
        <f t="shared" si="36"/>
        <v>850</v>
      </c>
      <c r="L268" s="104">
        <v>0</v>
      </c>
      <c r="M268" s="103">
        <v>0</v>
      </c>
      <c r="N268" s="102">
        <f t="shared" si="41"/>
        <v>850</v>
      </c>
      <c r="O268" s="104">
        <v>0</v>
      </c>
      <c r="P268" s="104">
        <v>0</v>
      </c>
      <c r="Q268" s="177">
        <f t="shared" si="38"/>
        <v>850</v>
      </c>
    </row>
    <row r="269" spans="1:18" ht="27.75" customHeight="1" x14ac:dyDescent="0.25">
      <c r="A269" s="17" t="s">
        <v>191</v>
      </c>
      <c r="B269" s="53"/>
      <c r="C269" s="109">
        <v>355</v>
      </c>
      <c r="D269" s="109">
        <v>0</v>
      </c>
      <c r="E269" s="105">
        <v>0</v>
      </c>
      <c r="F269" s="104">
        <f t="shared" si="44"/>
        <v>355</v>
      </c>
      <c r="G269" s="104">
        <v>0</v>
      </c>
      <c r="H269" s="104">
        <f t="shared" si="40"/>
        <v>355</v>
      </c>
      <c r="I269" s="104">
        <v>0</v>
      </c>
      <c r="J269" s="104">
        <v>0</v>
      </c>
      <c r="K269" s="147">
        <f t="shared" si="36"/>
        <v>355</v>
      </c>
      <c r="L269" s="104">
        <v>0</v>
      </c>
      <c r="M269" s="103">
        <v>0</v>
      </c>
      <c r="N269" s="102">
        <f t="shared" si="41"/>
        <v>355</v>
      </c>
      <c r="O269" s="104">
        <v>0</v>
      </c>
      <c r="P269" s="104">
        <v>0</v>
      </c>
      <c r="Q269" s="177">
        <f t="shared" si="38"/>
        <v>355</v>
      </c>
    </row>
    <row r="270" spans="1:18" ht="15.75" customHeight="1" x14ac:dyDescent="0.25">
      <c r="A270" s="54" t="s">
        <v>192</v>
      </c>
      <c r="B270" s="53" t="s">
        <v>193</v>
      </c>
      <c r="C270" s="109">
        <v>500</v>
      </c>
      <c r="D270" s="109">
        <v>0</v>
      </c>
      <c r="E270" s="105">
        <v>0</v>
      </c>
      <c r="F270" s="104">
        <f t="shared" si="44"/>
        <v>500</v>
      </c>
      <c r="G270" s="104">
        <v>0</v>
      </c>
      <c r="H270" s="104">
        <f t="shared" si="40"/>
        <v>500</v>
      </c>
      <c r="I270" s="104">
        <v>0</v>
      </c>
      <c r="J270" s="104">
        <v>0</v>
      </c>
      <c r="K270" s="147">
        <f t="shared" si="36"/>
        <v>500</v>
      </c>
      <c r="L270" s="104">
        <v>0</v>
      </c>
      <c r="M270" s="103">
        <v>0</v>
      </c>
      <c r="N270" s="102">
        <f t="shared" si="41"/>
        <v>500</v>
      </c>
      <c r="O270" s="104">
        <v>0</v>
      </c>
      <c r="P270" s="104">
        <v>0</v>
      </c>
      <c r="Q270" s="177">
        <f t="shared" si="38"/>
        <v>500</v>
      </c>
    </row>
    <row r="271" spans="1:18" ht="27" customHeight="1" x14ac:dyDescent="0.25">
      <c r="A271" s="17" t="s">
        <v>194</v>
      </c>
      <c r="B271" s="53"/>
      <c r="C271" s="109">
        <v>70</v>
      </c>
      <c r="D271" s="109">
        <v>0</v>
      </c>
      <c r="E271" s="105">
        <v>0</v>
      </c>
      <c r="F271" s="104">
        <f t="shared" si="44"/>
        <v>70</v>
      </c>
      <c r="G271" s="104">
        <v>0</v>
      </c>
      <c r="H271" s="104">
        <f t="shared" si="40"/>
        <v>70</v>
      </c>
      <c r="I271" s="104">
        <v>0</v>
      </c>
      <c r="J271" s="104">
        <v>0</v>
      </c>
      <c r="K271" s="147">
        <f t="shared" si="36"/>
        <v>70</v>
      </c>
      <c r="L271" s="104">
        <v>0</v>
      </c>
      <c r="M271" s="103">
        <v>0</v>
      </c>
      <c r="N271" s="102">
        <f t="shared" si="41"/>
        <v>70</v>
      </c>
      <c r="O271" s="104">
        <v>0</v>
      </c>
      <c r="P271" s="104">
        <v>0</v>
      </c>
      <c r="Q271" s="177">
        <f t="shared" ref="Q271:Q334" si="45">SUM(N271:P271)</f>
        <v>70</v>
      </c>
    </row>
    <row r="272" spans="1:18" ht="15" customHeight="1" x14ac:dyDescent="0.25">
      <c r="A272" s="54" t="s">
        <v>195</v>
      </c>
      <c r="B272" s="53"/>
      <c r="C272" s="109">
        <v>480</v>
      </c>
      <c r="D272" s="109">
        <v>0</v>
      </c>
      <c r="E272" s="105">
        <v>0</v>
      </c>
      <c r="F272" s="104">
        <f t="shared" si="44"/>
        <v>480</v>
      </c>
      <c r="G272" s="104">
        <v>0</v>
      </c>
      <c r="H272" s="104">
        <f t="shared" si="40"/>
        <v>480</v>
      </c>
      <c r="I272" s="104">
        <v>0</v>
      </c>
      <c r="J272" s="104">
        <v>0</v>
      </c>
      <c r="K272" s="147">
        <f t="shared" ref="K272:K339" si="46">SUM(H272:J272)</f>
        <v>480</v>
      </c>
      <c r="L272" s="104">
        <v>0</v>
      </c>
      <c r="M272" s="103">
        <v>0</v>
      </c>
      <c r="N272" s="102">
        <f t="shared" si="41"/>
        <v>480</v>
      </c>
      <c r="O272" s="104">
        <v>0</v>
      </c>
      <c r="P272" s="104">
        <v>0</v>
      </c>
      <c r="Q272" s="177">
        <f t="shared" si="45"/>
        <v>480</v>
      </c>
    </row>
    <row r="273" spans="1:18" ht="16.5" customHeight="1" x14ac:dyDescent="0.25">
      <c r="A273" s="54" t="s">
        <v>196</v>
      </c>
      <c r="B273" s="53"/>
      <c r="C273" s="109">
        <v>2</v>
      </c>
      <c r="D273" s="109">
        <v>0</v>
      </c>
      <c r="E273" s="105">
        <v>0</v>
      </c>
      <c r="F273" s="104">
        <f t="shared" si="44"/>
        <v>2</v>
      </c>
      <c r="G273" s="104">
        <v>0</v>
      </c>
      <c r="H273" s="104">
        <f t="shared" si="40"/>
        <v>2</v>
      </c>
      <c r="I273" s="104">
        <v>0</v>
      </c>
      <c r="J273" s="104">
        <v>0</v>
      </c>
      <c r="K273" s="147">
        <f t="shared" si="46"/>
        <v>2</v>
      </c>
      <c r="L273" s="104">
        <v>0</v>
      </c>
      <c r="M273" s="103">
        <v>0</v>
      </c>
      <c r="N273" s="102">
        <f t="shared" si="41"/>
        <v>2</v>
      </c>
      <c r="O273" s="104">
        <v>0</v>
      </c>
      <c r="P273" s="104">
        <v>0</v>
      </c>
      <c r="Q273" s="177">
        <f t="shared" si="45"/>
        <v>2</v>
      </c>
    </row>
    <row r="274" spans="1:18" ht="16.5" customHeight="1" x14ac:dyDescent="0.25">
      <c r="A274" s="54" t="s">
        <v>197</v>
      </c>
      <c r="B274" s="53"/>
      <c r="C274" s="109">
        <v>188</v>
      </c>
      <c r="D274" s="109">
        <v>0</v>
      </c>
      <c r="E274" s="105">
        <v>0</v>
      </c>
      <c r="F274" s="104">
        <f t="shared" si="44"/>
        <v>188</v>
      </c>
      <c r="G274" s="104">
        <v>0</v>
      </c>
      <c r="H274" s="104">
        <f t="shared" si="40"/>
        <v>188</v>
      </c>
      <c r="I274" s="104">
        <v>0.83</v>
      </c>
      <c r="J274" s="104">
        <v>0</v>
      </c>
      <c r="K274" s="147">
        <f t="shared" si="46"/>
        <v>188.83</v>
      </c>
      <c r="L274" s="104">
        <v>0</v>
      </c>
      <c r="M274" s="103">
        <v>0</v>
      </c>
      <c r="N274" s="102">
        <f t="shared" si="41"/>
        <v>188.83</v>
      </c>
      <c r="O274" s="104">
        <v>0</v>
      </c>
      <c r="P274" s="104">
        <v>0</v>
      </c>
      <c r="Q274" s="177">
        <f t="shared" si="45"/>
        <v>188.83</v>
      </c>
    </row>
    <row r="275" spans="1:18" ht="15" customHeight="1" x14ac:dyDescent="0.25">
      <c r="A275" s="54" t="s">
        <v>198</v>
      </c>
      <c r="B275" s="53"/>
      <c r="C275" s="109">
        <v>15</v>
      </c>
      <c r="D275" s="109">
        <v>0</v>
      </c>
      <c r="E275" s="105">
        <v>0</v>
      </c>
      <c r="F275" s="104">
        <f t="shared" si="44"/>
        <v>15</v>
      </c>
      <c r="G275" s="104">
        <v>0</v>
      </c>
      <c r="H275" s="104">
        <f t="shared" si="40"/>
        <v>15</v>
      </c>
      <c r="I275" s="104">
        <v>0</v>
      </c>
      <c r="J275" s="104">
        <v>0</v>
      </c>
      <c r="K275" s="147">
        <f t="shared" si="46"/>
        <v>15</v>
      </c>
      <c r="L275" s="104">
        <v>0</v>
      </c>
      <c r="M275" s="103">
        <v>0</v>
      </c>
      <c r="N275" s="102">
        <f t="shared" si="41"/>
        <v>15</v>
      </c>
      <c r="O275" s="104">
        <v>0</v>
      </c>
      <c r="P275" s="104">
        <v>0</v>
      </c>
      <c r="Q275" s="177">
        <f t="shared" si="45"/>
        <v>15</v>
      </c>
    </row>
    <row r="276" spans="1:18" ht="28.5" customHeight="1" x14ac:dyDescent="0.25">
      <c r="A276" s="17" t="s">
        <v>199</v>
      </c>
      <c r="B276" s="53"/>
      <c r="C276" s="109">
        <v>50</v>
      </c>
      <c r="D276" s="109">
        <v>0</v>
      </c>
      <c r="E276" s="105">
        <v>0</v>
      </c>
      <c r="F276" s="104">
        <f t="shared" si="44"/>
        <v>50</v>
      </c>
      <c r="G276" s="104">
        <v>0</v>
      </c>
      <c r="H276" s="104">
        <f t="shared" si="40"/>
        <v>50</v>
      </c>
      <c r="I276" s="104">
        <v>0</v>
      </c>
      <c r="J276" s="104">
        <v>0</v>
      </c>
      <c r="K276" s="147">
        <f t="shared" si="46"/>
        <v>50</v>
      </c>
      <c r="L276" s="104">
        <v>0</v>
      </c>
      <c r="M276" s="103">
        <v>0</v>
      </c>
      <c r="N276" s="102">
        <f t="shared" si="41"/>
        <v>50</v>
      </c>
      <c r="O276" s="104">
        <v>0</v>
      </c>
      <c r="P276" s="104">
        <v>0</v>
      </c>
      <c r="Q276" s="177">
        <f t="shared" si="45"/>
        <v>50</v>
      </c>
    </row>
    <row r="277" spans="1:18" ht="27.75" customHeight="1" x14ac:dyDescent="0.25">
      <c r="A277" s="17" t="s">
        <v>200</v>
      </c>
      <c r="B277" s="53"/>
      <c r="C277" s="109">
        <v>30</v>
      </c>
      <c r="D277" s="109">
        <v>0</v>
      </c>
      <c r="E277" s="105">
        <v>0</v>
      </c>
      <c r="F277" s="104">
        <f t="shared" si="44"/>
        <v>30</v>
      </c>
      <c r="G277" s="104">
        <v>0</v>
      </c>
      <c r="H277" s="104">
        <f t="shared" si="40"/>
        <v>30</v>
      </c>
      <c r="I277" s="104">
        <v>0</v>
      </c>
      <c r="J277" s="104">
        <v>0</v>
      </c>
      <c r="K277" s="147">
        <f t="shared" si="46"/>
        <v>30</v>
      </c>
      <c r="L277" s="104">
        <v>0</v>
      </c>
      <c r="M277" s="103">
        <v>0</v>
      </c>
      <c r="N277" s="102">
        <f t="shared" si="41"/>
        <v>30</v>
      </c>
      <c r="O277" s="104">
        <v>0</v>
      </c>
      <c r="P277" s="104">
        <v>0</v>
      </c>
      <c r="Q277" s="177">
        <f t="shared" si="45"/>
        <v>30</v>
      </c>
    </row>
    <row r="278" spans="1:18" ht="16.5" customHeight="1" x14ac:dyDescent="0.25">
      <c r="A278" s="17" t="s">
        <v>201</v>
      </c>
      <c r="B278" s="53"/>
      <c r="C278" s="109">
        <v>600</v>
      </c>
      <c r="D278" s="109">
        <v>0</v>
      </c>
      <c r="E278" s="105">
        <v>0</v>
      </c>
      <c r="F278" s="104">
        <f t="shared" si="44"/>
        <v>600</v>
      </c>
      <c r="G278" s="104">
        <v>0</v>
      </c>
      <c r="H278" s="104">
        <f t="shared" si="40"/>
        <v>600</v>
      </c>
      <c r="I278" s="104">
        <v>0</v>
      </c>
      <c r="J278" s="104">
        <f>-350</f>
        <v>-350</v>
      </c>
      <c r="K278" s="147">
        <f t="shared" si="46"/>
        <v>250</v>
      </c>
      <c r="L278" s="104">
        <v>0</v>
      </c>
      <c r="M278" s="103">
        <v>0</v>
      </c>
      <c r="N278" s="102">
        <f t="shared" si="41"/>
        <v>250</v>
      </c>
      <c r="O278" s="104">
        <v>0</v>
      </c>
      <c r="P278" s="104">
        <v>0</v>
      </c>
      <c r="Q278" s="177">
        <f t="shared" si="45"/>
        <v>250</v>
      </c>
    </row>
    <row r="279" spans="1:18" ht="26.25" customHeight="1" x14ac:dyDescent="0.25">
      <c r="A279" s="17" t="s">
        <v>353</v>
      </c>
      <c r="B279" s="53"/>
      <c r="C279" s="109">
        <v>0</v>
      </c>
      <c r="D279" s="109"/>
      <c r="E279" s="105"/>
      <c r="F279" s="104"/>
      <c r="G279" s="104"/>
      <c r="H279" s="104">
        <v>0</v>
      </c>
      <c r="I279" s="104">
        <v>0</v>
      </c>
      <c r="J279" s="104">
        <f>173</f>
        <v>173</v>
      </c>
      <c r="K279" s="115">
        <f>SUM(H279:J279)</f>
        <v>173</v>
      </c>
      <c r="L279" s="104">
        <v>0</v>
      </c>
      <c r="M279" s="103">
        <v>0</v>
      </c>
      <c r="N279" s="102">
        <f t="shared" si="41"/>
        <v>173</v>
      </c>
      <c r="O279" s="104">
        <v>0</v>
      </c>
      <c r="P279" s="104">
        <v>0</v>
      </c>
      <c r="Q279" s="177">
        <f t="shared" si="45"/>
        <v>173</v>
      </c>
    </row>
    <row r="280" spans="1:18" ht="36" customHeight="1" x14ac:dyDescent="0.25">
      <c r="A280" s="17" t="s">
        <v>354</v>
      </c>
      <c r="B280" s="53"/>
      <c r="C280" s="109">
        <v>0</v>
      </c>
      <c r="D280" s="109"/>
      <c r="E280" s="105"/>
      <c r="F280" s="104"/>
      <c r="G280" s="104"/>
      <c r="H280" s="104">
        <v>0</v>
      </c>
      <c r="I280" s="104">
        <v>0</v>
      </c>
      <c r="J280" s="104">
        <f>120</f>
        <v>120</v>
      </c>
      <c r="K280" s="115">
        <f>SUM(H280:J280)</f>
        <v>120</v>
      </c>
      <c r="L280" s="104">
        <v>0</v>
      </c>
      <c r="M280" s="103">
        <v>0</v>
      </c>
      <c r="N280" s="102">
        <f t="shared" si="41"/>
        <v>120</v>
      </c>
      <c r="O280" s="104">
        <v>0</v>
      </c>
      <c r="P280" s="104">
        <v>0</v>
      </c>
      <c r="Q280" s="177">
        <f t="shared" si="45"/>
        <v>120</v>
      </c>
    </row>
    <row r="281" spans="1:18" ht="38.25" customHeight="1" x14ac:dyDescent="0.25">
      <c r="A281" s="17" t="s">
        <v>355</v>
      </c>
      <c r="B281" s="53"/>
      <c r="C281" s="109">
        <v>0</v>
      </c>
      <c r="D281" s="109"/>
      <c r="E281" s="105"/>
      <c r="F281" s="104"/>
      <c r="G281" s="104"/>
      <c r="H281" s="104">
        <v>0</v>
      </c>
      <c r="I281" s="104">
        <v>0</v>
      </c>
      <c r="J281" s="104">
        <f>222</f>
        <v>222</v>
      </c>
      <c r="K281" s="115">
        <f>SUM(H281:J281)</f>
        <v>222</v>
      </c>
      <c r="L281" s="104">
        <v>0</v>
      </c>
      <c r="M281" s="103">
        <v>0</v>
      </c>
      <c r="N281" s="102">
        <f t="shared" si="41"/>
        <v>222</v>
      </c>
      <c r="O281" s="104">
        <v>0</v>
      </c>
      <c r="P281" s="104">
        <v>0</v>
      </c>
      <c r="Q281" s="177">
        <f t="shared" si="45"/>
        <v>222</v>
      </c>
    </row>
    <row r="282" spans="1:18" ht="38.25" customHeight="1" x14ac:dyDescent="0.25">
      <c r="A282" s="17" t="s">
        <v>356</v>
      </c>
      <c r="B282" s="53"/>
      <c r="C282" s="109">
        <v>0</v>
      </c>
      <c r="D282" s="109"/>
      <c r="E282" s="105"/>
      <c r="F282" s="104"/>
      <c r="G282" s="104"/>
      <c r="H282" s="104">
        <v>0</v>
      </c>
      <c r="I282" s="104">
        <v>0</v>
      </c>
      <c r="J282" s="104">
        <f>80</f>
        <v>80</v>
      </c>
      <c r="K282" s="115">
        <f>SUM(H282:J282)</f>
        <v>80</v>
      </c>
      <c r="L282" s="104">
        <v>0</v>
      </c>
      <c r="M282" s="103">
        <v>0</v>
      </c>
      <c r="N282" s="102">
        <f t="shared" si="41"/>
        <v>80</v>
      </c>
      <c r="O282" s="104">
        <v>0</v>
      </c>
      <c r="P282" s="104">
        <v>0</v>
      </c>
      <c r="Q282" s="177">
        <f t="shared" si="45"/>
        <v>80</v>
      </c>
    </row>
    <row r="283" spans="1:18" ht="27" customHeight="1" thickBot="1" x14ac:dyDescent="0.3">
      <c r="A283" s="20" t="s">
        <v>202</v>
      </c>
      <c r="B283" s="45"/>
      <c r="C283" s="111">
        <v>6334.24</v>
      </c>
      <c r="D283" s="111">
        <f>408.98</f>
        <v>408.98</v>
      </c>
      <c r="E283" s="107">
        <v>0</v>
      </c>
      <c r="F283" s="106">
        <f t="shared" si="44"/>
        <v>6743.2199999999993</v>
      </c>
      <c r="G283" s="106">
        <v>0</v>
      </c>
      <c r="H283" s="106">
        <f t="shared" si="40"/>
        <v>6743.2199999999993</v>
      </c>
      <c r="I283" s="106">
        <v>200</v>
      </c>
      <c r="J283" s="106">
        <f>474.34+370.57</f>
        <v>844.91</v>
      </c>
      <c r="K283" s="113">
        <f>SUM(H283:J283)+68.7</f>
        <v>7856.829999999999</v>
      </c>
      <c r="L283" s="106">
        <f>730</f>
        <v>730</v>
      </c>
      <c r="M283" s="107">
        <f>30.25</f>
        <v>30.25</v>
      </c>
      <c r="N283" s="106">
        <f t="shared" si="41"/>
        <v>8617.0799999999981</v>
      </c>
      <c r="O283" s="106">
        <v>0</v>
      </c>
      <c r="P283" s="106">
        <v>0</v>
      </c>
      <c r="Q283" s="186">
        <f t="shared" si="45"/>
        <v>8617.0799999999981</v>
      </c>
    </row>
    <row r="284" spans="1:18" ht="16.350000000000001" customHeight="1" thickBot="1" x14ac:dyDescent="0.3">
      <c r="A284" s="56" t="s">
        <v>203</v>
      </c>
      <c r="B284" s="50"/>
      <c r="C284" s="42">
        <f t="shared" ref="C284:J284" si="47">SUM(C286:C287)</f>
        <v>59013</v>
      </c>
      <c r="D284" s="42">
        <f t="shared" si="47"/>
        <v>9</v>
      </c>
      <c r="E284" s="88">
        <f t="shared" si="47"/>
        <v>0</v>
      </c>
      <c r="F284" s="42">
        <f t="shared" si="47"/>
        <v>59022</v>
      </c>
      <c r="G284" s="42">
        <f t="shared" si="47"/>
        <v>0</v>
      </c>
      <c r="H284" s="42">
        <f t="shared" si="47"/>
        <v>59022</v>
      </c>
      <c r="I284" s="42">
        <f t="shared" si="47"/>
        <v>0</v>
      </c>
      <c r="J284" s="42">
        <f t="shared" si="47"/>
        <v>1088</v>
      </c>
      <c r="K284" s="153">
        <f t="shared" ref="K284:P284" si="48">SUM(K286:K287)</f>
        <v>60270</v>
      </c>
      <c r="L284" s="123">
        <f t="shared" si="48"/>
        <v>0</v>
      </c>
      <c r="M284" s="124">
        <f t="shared" si="48"/>
        <v>0</v>
      </c>
      <c r="N284" s="123">
        <f t="shared" si="48"/>
        <v>60270</v>
      </c>
      <c r="O284" s="123">
        <f t="shared" si="48"/>
        <v>0</v>
      </c>
      <c r="P284" s="123">
        <f t="shared" si="48"/>
        <v>0</v>
      </c>
      <c r="Q284" s="176">
        <f t="shared" si="45"/>
        <v>60270</v>
      </c>
      <c r="R284" s="122"/>
    </row>
    <row r="285" spans="1:18" ht="13.5" customHeight="1" x14ac:dyDescent="0.25">
      <c r="A285" s="57" t="s">
        <v>27</v>
      </c>
      <c r="B285" s="47"/>
      <c r="C285" s="31"/>
      <c r="D285" s="31"/>
      <c r="E285" s="82"/>
      <c r="F285" s="16"/>
      <c r="G285" s="16"/>
      <c r="H285" s="102"/>
      <c r="I285" s="102"/>
      <c r="J285" s="102"/>
      <c r="K285" s="147"/>
      <c r="L285" s="102"/>
      <c r="M285" s="103"/>
      <c r="N285" s="102"/>
      <c r="O285" s="102"/>
      <c r="P285" s="102"/>
      <c r="Q285" s="169"/>
    </row>
    <row r="286" spans="1:18" ht="17.25" customHeight="1" x14ac:dyDescent="0.25">
      <c r="A286" s="54" t="s">
        <v>30</v>
      </c>
      <c r="B286" s="49"/>
      <c r="C286" s="32">
        <v>300</v>
      </c>
      <c r="D286" s="32">
        <f>9</f>
        <v>9</v>
      </c>
      <c r="E286" s="83">
        <v>0</v>
      </c>
      <c r="F286" s="19">
        <f>SUM(C286:E286)</f>
        <v>309</v>
      </c>
      <c r="G286" s="19">
        <v>0</v>
      </c>
      <c r="H286" s="104">
        <f t="shared" si="40"/>
        <v>309</v>
      </c>
      <c r="I286" s="104">
        <v>0</v>
      </c>
      <c r="J286" s="104">
        <v>0</v>
      </c>
      <c r="K286" s="147">
        <f>SUM(H286:J286)+160</f>
        <v>469</v>
      </c>
      <c r="L286" s="104">
        <v>0</v>
      </c>
      <c r="M286" s="103">
        <v>0</v>
      </c>
      <c r="N286" s="102">
        <f t="shared" si="41"/>
        <v>469</v>
      </c>
      <c r="O286" s="104">
        <v>0</v>
      </c>
      <c r="P286" s="104">
        <v>0</v>
      </c>
      <c r="Q286" s="177">
        <f t="shared" si="45"/>
        <v>469</v>
      </c>
    </row>
    <row r="287" spans="1:18" ht="15.75" customHeight="1" thickBot="1" x14ac:dyDescent="0.3">
      <c r="A287" s="55" t="s">
        <v>204</v>
      </c>
      <c r="B287" s="45"/>
      <c r="C287" s="64">
        <v>58713</v>
      </c>
      <c r="D287" s="64">
        <v>0</v>
      </c>
      <c r="E287" s="84">
        <v>0</v>
      </c>
      <c r="F287" s="22">
        <f>SUM(C287:E287)</f>
        <v>58713</v>
      </c>
      <c r="G287" s="22">
        <v>0</v>
      </c>
      <c r="H287" s="106">
        <f t="shared" si="40"/>
        <v>58713</v>
      </c>
      <c r="I287" s="106">
        <v>0</v>
      </c>
      <c r="J287" s="106">
        <f>1088</f>
        <v>1088</v>
      </c>
      <c r="K287" s="209">
        <f t="shared" si="46"/>
        <v>59801</v>
      </c>
      <c r="L287" s="106">
        <v>0</v>
      </c>
      <c r="M287" s="137">
        <v>0</v>
      </c>
      <c r="N287" s="108">
        <f t="shared" si="41"/>
        <v>59801</v>
      </c>
      <c r="O287" s="106">
        <v>0</v>
      </c>
      <c r="P287" s="106">
        <v>0</v>
      </c>
      <c r="Q287" s="186">
        <f t="shared" si="45"/>
        <v>59801</v>
      </c>
    </row>
    <row r="288" spans="1:18" ht="16.5" customHeight="1" thickBot="1" x14ac:dyDescent="0.3">
      <c r="A288" s="56" t="s">
        <v>205</v>
      </c>
      <c r="B288" s="50"/>
      <c r="C288" s="42">
        <f t="shared" ref="C288:J288" si="49">SUM(C290:C291)</f>
        <v>27507</v>
      </c>
      <c r="D288" s="42">
        <f t="shared" si="49"/>
        <v>8108.52</v>
      </c>
      <c r="E288" s="88">
        <f t="shared" si="49"/>
        <v>0</v>
      </c>
      <c r="F288" s="42">
        <f t="shared" si="49"/>
        <v>35615.520000000004</v>
      </c>
      <c r="G288" s="42">
        <f t="shared" si="49"/>
        <v>1.7</v>
      </c>
      <c r="H288" s="42">
        <f t="shared" si="49"/>
        <v>35617.560000000005</v>
      </c>
      <c r="I288" s="42">
        <f t="shared" si="49"/>
        <v>111.23</v>
      </c>
      <c r="J288" s="42">
        <f t="shared" si="49"/>
        <v>75.759999999999991</v>
      </c>
      <c r="K288" s="153">
        <f>SUM(K290:K291)</f>
        <v>35804.890000000007</v>
      </c>
      <c r="L288" s="123">
        <f>SUM(L290:L291)</f>
        <v>0</v>
      </c>
      <c r="M288" s="124">
        <f>SUM(M290:M291)</f>
        <v>336.3</v>
      </c>
      <c r="N288" s="123">
        <f>SUM(K288:M288)</f>
        <v>36141.19000000001</v>
      </c>
      <c r="O288" s="123">
        <f>SUM(O290:O291)</f>
        <v>0</v>
      </c>
      <c r="P288" s="123">
        <f>SUM(P290:P291)</f>
        <v>-688</v>
      </c>
      <c r="Q288" s="176">
        <f t="shared" si="45"/>
        <v>35453.19000000001</v>
      </c>
      <c r="R288" s="122"/>
    </row>
    <row r="289" spans="1:18" ht="15" customHeight="1" x14ac:dyDescent="0.25">
      <c r="A289" s="57" t="s">
        <v>27</v>
      </c>
      <c r="B289" s="47"/>
      <c r="C289" s="31"/>
      <c r="D289" s="31"/>
      <c r="E289" s="82"/>
      <c r="F289" s="16"/>
      <c r="G289" s="27"/>
      <c r="H289" s="108"/>
      <c r="I289" s="108"/>
      <c r="J289" s="108"/>
      <c r="K289" s="147"/>
      <c r="L289" s="102"/>
      <c r="M289" s="103"/>
      <c r="N289" s="102"/>
      <c r="O289" s="102"/>
      <c r="P289" s="102"/>
      <c r="Q289" s="169"/>
    </row>
    <row r="290" spans="1:18" ht="15" customHeight="1" x14ac:dyDescent="0.25">
      <c r="A290" s="17" t="s">
        <v>30</v>
      </c>
      <c r="B290" s="49"/>
      <c r="C290" s="32">
        <v>100</v>
      </c>
      <c r="D290" s="32">
        <v>0</v>
      </c>
      <c r="E290" s="83">
        <v>0</v>
      </c>
      <c r="F290" s="19">
        <f>SUM(C290:E290)</f>
        <v>100</v>
      </c>
      <c r="G290" s="19">
        <f>1.7</f>
        <v>1.7</v>
      </c>
      <c r="H290" s="104">
        <f>SUM(F290:G290)+0.34</f>
        <v>102.04</v>
      </c>
      <c r="I290" s="104">
        <v>0</v>
      </c>
      <c r="J290" s="104">
        <f>3.5</f>
        <v>3.5</v>
      </c>
      <c r="K290" s="147">
        <f t="shared" si="46"/>
        <v>105.54</v>
      </c>
      <c r="L290" s="104">
        <v>0</v>
      </c>
      <c r="M290" s="103">
        <v>0</v>
      </c>
      <c r="N290" s="102">
        <f t="shared" si="41"/>
        <v>105.54</v>
      </c>
      <c r="O290" s="104">
        <v>0</v>
      </c>
      <c r="P290" s="104">
        <v>0</v>
      </c>
      <c r="Q290" s="177">
        <f t="shared" si="45"/>
        <v>105.54</v>
      </c>
    </row>
    <row r="291" spans="1:18" ht="16.5" customHeight="1" thickBot="1" x14ac:dyDescent="0.3">
      <c r="A291" s="20" t="s">
        <v>206</v>
      </c>
      <c r="B291" s="45"/>
      <c r="C291" s="64">
        <v>27407</v>
      </c>
      <c r="D291" s="64">
        <f>5210.92+2944-46.4</f>
        <v>8108.52</v>
      </c>
      <c r="E291" s="84">
        <v>0</v>
      </c>
      <c r="F291" s="22">
        <f>SUM(C291:E291)</f>
        <v>35515.520000000004</v>
      </c>
      <c r="G291" s="22">
        <v>0</v>
      </c>
      <c r="H291" s="106">
        <f t="shared" si="40"/>
        <v>35515.520000000004</v>
      </c>
      <c r="I291" s="106">
        <v>111.23</v>
      </c>
      <c r="J291" s="106">
        <f>72.6-0.34</f>
        <v>72.259999999999991</v>
      </c>
      <c r="K291" s="209">
        <f>SUM(H291:J291)+0.34</f>
        <v>35699.350000000006</v>
      </c>
      <c r="L291" s="106">
        <v>0</v>
      </c>
      <c r="M291" s="137">
        <f>336.3</f>
        <v>336.3</v>
      </c>
      <c r="N291" s="108">
        <f t="shared" si="41"/>
        <v>36035.650000000009</v>
      </c>
      <c r="O291" s="106">
        <v>0</v>
      </c>
      <c r="P291" s="106">
        <f>-688</f>
        <v>-688</v>
      </c>
      <c r="Q291" s="186">
        <f t="shared" si="45"/>
        <v>35347.650000000009</v>
      </c>
    </row>
    <row r="292" spans="1:18" ht="15.75" customHeight="1" thickBot="1" x14ac:dyDescent="0.3">
      <c r="A292" s="65" t="s">
        <v>207</v>
      </c>
      <c r="B292" s="50"/>
      <c r="C292" s="42">
        <f t="shared" ref="C292:J292" si="50">SUM(C294:C295)</f>
        <v>5667</v>
      </c>
      <c r="D292" s="42">
        <f t="shared" si="50"/>
        <v>0</v>
      </c>
      <c r="E292" s="88">
        <f t="shared" si="50"/>
        <v>0</v>
      </c>
      <c r="F292" s="42">
        <f t="shared" si="50"/>
        <v>5667</v>
      </c>
      <c r="G292" s="42">
        <f t="shared" si="50"/>
        <v>402.9</v>
      </c>
      <c r="H292" s="42">
        <f t="shared" si="50"/>
        <v>6269.9</v>
      </c>
      <c r="I292" s="42">
        <f t="shared" si="50"/>
        <v>575</v>
      </c>
      <c r="J292" s="42">
        <f t="shared" si="50"/>
        <v>712.57</v>
      </c>
      <c r="K292" s="153">
        <f>SUM(K294:K295)</f>
        <v>7867.07</v>
      </c>
      <c r="L292" s="123">
        <f>SUM(L294:L295)</f>
        <v>0</v>
      </c>
      <c r="M292" s="124">
        <f>SUM(M294:M295)</f>
        <v>279</v>
      </c>
      <c r="N292" s="123">
        <f t="shared" si="41"/>
        <v>8146.07</v>
      </c>
      <c r="O292" s="123">
        <f>SUM(O294:O295)</f>
        <v>1500</v>
      </c>
      <c r="P292" s="123">
        <f>SUM(P294:P295)</f>
        <v>2099</v>
      </c>
      <c r="Q292" s="176">
        <f t="shared" si="45"/>
        <v>11745.07</v>
      </c>
      <c r="R292" s="122"/>
    </row>
    <row r="293" spans="1:18" ht="13.5" customHeight="1" x14ac:dyDescent="0.25">
      <c r="A293" s="57" t="s">
        <v>27</v>
      </c>
      <c r="B293" s="47"/>
      <c r="C293" s="31"/>
      <c r="D293" s="31"/>
      <c r="E293" s="82"/>
      <c r="F293" s="16"/>
      <c r="G293" s="16"/>
      <c r="H293" s="102"/>
      <c r="I293" s="102"/>
      <c r="J293" s="102"/>
      <c r="K293" s="147"/>
      <c r="L293" s="102"/>
      <c r="M293" s="103"/>
      <c r="N293" s="102"/>
      <c r="O293" s="102"/>
      <c r="P293" s="102"/>
      <c r="Q293" s="169"/>
    </row>
    <row r="294" spans="1:18" ht="15.75" customHeight="1" x14ac:dyDescent="0.25">
      <c r="A294" s="54" t="s">
        <v>30</v>
      </c>
      <c r="B294" s="49"/>
      <c r="C294" s="109">
        <v>380</v>
      </c>
      <c r="D294" s="109">
        <v>0</v>
      </c>
      <c r="E294" s="105">
        <v>0</v>
      </c>
      <c r="F294" s="104">
        <f>SUM(C294:E294)</f>
        <v>380</v>
      </c>
      <c r="G294" s="104">
        <v>0</v>
      </c>
      <c r="H294" s="104">
        <f t="shared" si="40"/>
        <v>380</v>
      </c>
      <c r="I294" s="104">
        <v>0</v>
      </c>
      <c r="J294" s="104">
        <v>0</v>
      </c>
      <c r="K294" s="147">
        <f t="shared" si="46"/>
        <v>380</v>
      </c>
      <c r="L294" s="104">
        <v>0</v>
      </c>
      <c r="M294" s="103">
        <v>0</v>
      </c>
      <c r="N294" s="102">
        <f t="shared" si="41"/>
        <v>380</v>
      </c>
      <c r="O294" s="104">
        <v>0</v>
      </c>
      <c r="P294" s="104">
        <f>6</f>
        <v>6</v>
      </c>
      <c r="Q294" s="177">
        <f t="shared" si="45"/>
        <v>386</v>
      </c>
    </row>
    <row r="295" spans="1:18" ht="27" customHeight="1" thickBot="1" x14ac:dyDescent="0.3">
      <c r="A295" s="20" t="s">
        <v>208</v>
      </c>
      <c r="B295" s="45"/>
      <c r="C295" s="111">
        <v>5287</v>
      </c>
      <c r="D295" s="111">
        <v>0</v>
      </c>
      <c r="E295" s="107">
        <v>0</v>
      </c>
      <c r="F295" s="106">
        <f t="shared" ref="F295" si="51">SUM(C295:E295)</f>
        <v>5287</v>
      </c>
      <c r="G295" s="106">
        <f>200+202.9</f>
        <v>402.9</v>
      </c>
      <c r="H295" s="106">
        <f>SUM(F295:G295)+200</f>
        <v>5889.9</v>
      </c>
      <c r="I295" s="106">
        <v>575</v>
      </c>
      <c r="J295" s="106">
        <f>712.57</f>
        <v>712.57</v>
      </c>
      <c r="K295" s="209">
        <f>SUM(H295:J295)+309.6</f>
        <v>7487.07</v>
      </c>
      <c r="L295" s="106">
        <v>0</v>
      </c>
      <c r="M295" s="137">
        <f>279</f>
        <v>279</v>
      </c>
      <c r="N295" s="108">
        <f t="shared" si="41"/>
        <v>7766.07</v>
      </c>
      <c r="O295" s="106">
        <f>1500</f>
        <v>1500</v>
      </c>
      <c r="P295" s="106">
        <f>2099-6</f>
        <v>2093</v>
      </c>
      <c r="Q295" s="186">
        <f t="shared" si="45"/>
        <v>11359.07</v>
      </c>
    </row>
    <row r="296" spans="1:18" ht="16.5" customHeight="1" thickBot="1" x14ac:dyDescent="0.3">
      <c r="A296" s="66" t="s">
        <v>209</v>
      </c>
      <c r="B296" s="67"/>
      <c r="C296" s="68">
        <f t="shared" ref="C296:H296" si="52">SUM(C24+C47+C52+C60+C64+C69+C179+C193+C202+C256+C260+C284+C288+C292)</f>
        <v>1553728.91</v>
      </c>
      <c r="D296" s="68">
        <f t="shared" si="52"/>
        <v>6087.43</v>
      </c>
      <c r="E296" s="68">
        <f t="shared" si="52"/>
        <v>58806.520000000004</v>
      </c>
      <c r="F296" s="68">
        <f t="shared" si="52"/>
        <v>1592091.86</v>
      </c>
      <c r="G296" s="68">
        <f t="shared" si="52"/>
        <v>57459.64</v>
      </c>
      <c r="H296" s="68">
        <f t="shared" si="52"/>
        <v>1680449.24</v>
      </c>
      <c r="I296" s="68">
        <f>I24+I47+I52+I60+I64+I69+I179+I193+I202+I256+I260+I284+I288+I292</f>
        <v>17096.48</v>
      </c>
      <c r="J296" s="68">
        <f>SUM(J24+J47+J52+J60+J64+J69++J179+J193+J202+J256+J260+J284+J288+J292)</f>
        <v>22597.939999999995</v>
      </c>
      <c r="K296" s="154">
        <f>SUM(K24+K47+K52+K60+K64+K69+K179+K193+K202+K256+K260+K284+K288+K292)</f>
        <v>1721001.14</v>
      </c>
      <c r="L296" s="128">
        <f>SUM(L24+L47+L52+L60+L64+L69+L179+L193+L202+L256+L260+L284+L288+L292)</f>
        <v>14707.660000000002</v>
      </c>
      <c r="M296" s="184">
        <f>SUM(M24+M47+M52+M60+M64+M69+M179+M193+M202+M256+M260+M284+M288+M292)</f>
        <v>1924.28</v>
      </c>
      <c r="N296" s="128">
        <f t="shared" si="41"/>
        <v>1737633.0799999998</v>
      </c>
      <c r="O296" s="128">
        <f>SUM(O24+O47+O52+O60+O64+O69+O179+O193+O202+O256+O260+O284+O288+O292)</f>
        <v>0</v>
      </c>
      <c r="P296" s="128">
        <f>SUM(P24+P47+P52+P60+P64+P69+P179+P193+P202+P256+P260+P284+P288+P292)</f>
        <v>4479.59</v>
      </c>
      <c r="Q296" s="178">
        <f t="shared" si="45"/>
        <v>1742112.67</v>
      </c>
      <c r="R296" s="122"/>
    </row>
    <row r="297" spans="1:18" ht="13.5" customHeight="1" thickBot="1" x14ac:dyDescent="0.3">
      <c r="A297" s="195"/>
      <c r="B297" s="196"/>
      <c r="C297" s="197"/>
      <c r="D297" s="197"/>
      <c r="E297" s="198"/>
      <c r="F297" s="199"/>
      <c r="G297" s="199"/>
      <c r="H297" s="199"/>
      <c r="I297" s="199"/>
      <c r="J297" s="199"/>
      <c r="K297" s="200"/>
      <c r="L297" s="201"/>
      <c r="M297" s="202"/>
      <c r="N297" s="201"/>
      <c r="O297" s="201"/>
      <c r="P297" s="201"/>
      <c r="Q297" s="203"/>
    </row>
    <row r="298" spans="1:18" ht="15.75" customHeight="1" thickBot="1" x14ac:dyDescent="0.3">
      <c r="A298" s="66" t="s">
        <v>210</v>
      </c>
      <c r="B298" s="204"/>
      <c r="C298" s="39"/>
      <c r="D298" s="39"/>
      <c r="E298" s="87"/>
      <c r="F298" s="39"/>
      <c r="G298" s="39"/>
      <c r="H298" s="120"/>
      <c r="I298" s="120"/>
      <c r="J298" s="120"/>
      <c r="K298" s="152"/>
      <c r="L298" s="120"/>
      <c r="M298" s="183"/>
      <c r="N298" s="120"/>
      <c r="O298" s="120"/>
      <c r="P298" s="120"/>
      <c r="Q298" s="175"/>
    </row>
    <row r="299" spans="1:18" ht="17.25" customHeight="1" thickBot="1" x14ac:dyDescent="0.3">
      <c r="A299" s="56" t="s">
        <v>26</v>
      </c>
      <c r="B299" s="50"/>
      <c r="C299" s="42">
        <f t="shared" ref="C299" si="53">SUM(C301)</f>
        <v>0</v>
      </c>
      <c r="D299" s="42">
        <f t="shared" ref="D299:J299" si="54">SUM(D301)</f>
        <v>0</v>
      </c>
      <c r="E299" s="88">
        <f t="shared" si="54"/>
        <v>0</v>
      </c>
      <c r="F299" s="42">
        <f t="shared" si="54"/>
        <v>0</v>
      </c>
      <c r="G299" s="42">
        <f t="shared" si="54"/>
        <v>0</v>
      </c>
      <c r="H299" s="42">
        <f t="shared" si="54"/>
        <v>50</v>
      </c>
      <c r="I299" s="42">
        <f t="shared" si="54"/>
        <v>0</v>
      </c>
      <c r="J299" s="42">
        <f t="shared" si="54"/>
        <v>0</v>
      </c>
      <c r="K299" s="153">
        <f t="shared" si="46"/>
        <v>50</v>
      </c>
      <c r="L299" s="123">
        <f>SUM(L301)</f>
        <v>0</v>
      </c>
      <c r="M299" s="124">
        <f>SUM(M301)</f>
        <v>0</v>
      </c>
      <c r="N299" s="123">
        <f t="shared" si="41"/>
        <v>50</v>
      </c>
      <c r="O299" s="123">
        <f>SUM(O301)</f>
        <v>0</v>
      </c>
      <c r="P299" s="123">
        <f>SUM(P301)</f>
        <v>0</v>
      </c>
      <c r="Q299" s="176">
        <f t="shared" si="45"/>
        <v>50</v>
      </c>
      <c r="R299" s="122"/>
    </row>
    <row r="300" spans="1:18" ht="15" customHeight="1" x14ac:dyDescent="0.25">
      <c r="A300" s="57" t="s">
        <v>27</v>
      </c>
      <c r="B300" s="47"/>
      <c r="C300" s="16"/>
      <c r="D300" s="16"/>
      <c r="E300" s="82"/>
      <c r="F300" s="16"/>
      <c r="G300" s="16"/>
      <c r="H300" s="102"/>
      <c r="I300" s="102"/>
      <c r="J300" s="102"/>
      <c r="K300" s="147"/>
      <c r="L300" s="102"/>
      <c r="M300" s="103"/>
      <c r="N300" s="102"/>
      <c r="O300" s="102"/>
      <c r="P300" s="102"/>
      <c r="Q300" s="169"/>
    </row>
    <row r="301" spans="1:18" ht="18" customHeight="1" thickBot="1" x14ac:dyDescent="0.3">
      <c r="A301" s="55" t="s">
        <v>211</v>
      </c>
      <c r="B301" s="45"/>
      <c r="C301" s="22">
        <v>0</v>
      </c>
      <c r="D301" s="22">
        <v>0</v>
      </c>
      <c r="E301" s="84">
        <v>0</v>
      </c>
      <c r="F301" s="22">
        <f>SUM(C301:E301)</f>
        <v>0</v>
      </c>
      <c r="G301" s="22">
        <v>0</v>
      </c>
      <c r="H301" s="106">
        <f>SUM(F301:G301)+50</f>
        <v>50</v>
      </c>
      <c r="I301" s="106">
        <v>0</v>
      </c>
      <c r="J301" s="106">
        <v>0</v>
      </c>
      <c r="K301" s="113">
        <f t="shared" si="46"/>
        <v>50</v>
      </c>
      <c r="L301" s="106">
        <v>0</v>
      </c>
      <c r="M301" s="137">
        <v>0</v>
      </c>
      <c r="N301" s="108">
        <f t="shared" si="41"/>
        <v>50</v>
      </c>
      <c r="O301" s="106">
        <v>0</v>
      </c>
      <c r="P301" s="106">
        <v>0</v>
      </c>
      <c r="Q301" s="186">
        <f t="shared" si="45"/>
        <v>50</v>
      </c>
    </row>
    <row r="302" spans="1:18" ht="17.25" customHeight="1" thickBot="1" x14ac:dyDescent="0.3">
      <c r="A302" s="56" t="s">
        <v>212</v>
      </c>
      <c r="B302" s="50"/>
      <c r="C302" s="42">
        <f t="shared" ref="C302:J302" si="55">SUM(C304:C306)</f>
        <v>8000</v>
      </c>
      <c r="D302" s="42">
        <f t="shared" si="55"/>
        <v>50</v>
      </c>
      <c r="E302" s="88">
        <f t="shared" si="55"/>
        <v>0</v>
      </c>
      <c r="F302" s="42">
        <f t="shared" si="55"/>
        <v>8050</v>
      </c>
      <c r="G302" s="42">
        <f t="shared" si="55"/>
        <v>0</v>
      </c>
      <c r="H302" s="42">
        <f t="shared" si="55"/>
        <v>8050</v>
      </c>
      <c r="I302" s="42">
        <f t="shared" si="55"/>
        <v>0</v>
      </c>
      <c r="J302" s="42">
        <f t="shared" si="55"/>
        <v>0</v>
      </c>
      <c r="K302" s="153">
        <f t="shared" si="46"/>
        <v>8050</v>
      </c>
      <c r="L302" s="123">
        <f>SUM(L304:L306)</f>
        <v>0</v>
      </c>
      <c r="M302" s="124">
        <f>SUM(M304:M306)</f>
        <v>0</v>
      </c>
      <c r="N302" s="123">
        <f t="shared" si="41"/>
        <v>8050</v>
      </c>
      <c r="O302" s="123">
        <f>SUM(O304:O306)</f>
        <v>0</v>
      </c>
      <c r="P302" s="123">
        <f>SUM(P304:P306)</f>
        <v>0</v>
      </c>
      <c r="Q302" s="176">
        <f t="shared" si="45"/>
        <v>8050</v>
      </c>
      <c r="R302" s="122"/>
    </row>
    <row r="303" spans="1:18" ht="15" customHeight="1" x14ac:dyDescent="0.25">
      <c r="A303" s="57" t="s">
        <v>27</v>
      </c>
      <c r="B303" s="47"/>
      <c r="C303" s="16"/>
      <c r="D303" s="16"/>
      <c r="E303" s="82"/>
      <c r="F303" s="16"/>
      <c r="G303" s="16"/>
      <c r="H303" s="102"/>
      <c r="I303" s="102"/>
      <c r="J303" s="102"/>
      <c r="K303" s="147"/>
      <c r="L303" s="102"/>
      <c r="M303" s="103"/>
      <c r="N303" s="102"/>
      <c r="O303" s="102"/>
      <c r="P303" s="102"/>
      <c r="Q303" s="169"/>
    </row>
    <row r="304" spans="1:18" ht="16.5" customHeight="1" x14ac:dyDescent="0.25">
      <c r="A304" s="54" t="s">
        <v>213</v>
      </c>
      <c r="B304" s="49"/>
      <c r="C304" s="104">
        <v>8000</v>
      </c>
      <c r="D304" s="104">
        <f>50</f>
        <v>50</v>
      </c>
      <c r="E304" s="105">
        <v>0</v>
      </c>
      <c r="F304" s="104">
        <f>SUM(C304:E304)</f>
        <v>8050</v>
      </c>
      <c r="G304" s="104">
        <v>0</v>
      </c>
      <c r="H304" s="104">
        <f t="shared" si="40"/>
        <v>8050</v>
      </c>
      <c r="I304" s="104">
        <v>0</v>
      </c>
      <c r="J304" s="104">
        <v>0</v>
      </c>
      <c r="K304" s="147">
        <f t="shared" si="46"/>
        <v>8050</v>
      </c>
      <c r="L304" s="104">
        <v>0</v>
      </c>
      <c r="M304" s="103">
        <v>0</v>
      </c>
      <c r="N304" s="102">
        <f t="shared" si="41"/>
        <v>8050</v>
      </c>
      <c r="O304" s="104">
        <v>0</v>
      </c>
      <c r="P304" s="104">
        <v>0</v>
      </c>
      <c r="Q304" s="177">
        <f t="shared" si="45"/>
        <v>8050</v>
      </c>
    </row>
    <row r="305" spans="1:18" ht="17.25" customHeight="1" x14ac:dyDescent="0.25">
      <c r="A305" s="54" t="s">
        <v>214</v>
      </c>
      <c r="B305" s="49"/>
      <c r="C305" s="104">
        <v>0</v>
      </c>
      <c r="D305" s="104">
        <v>0</v>
      </c>
      <c r="E305" s="105">
        <v>0</v>
      </c>
      <c r="F305" s="104">
        <f t="shared" ref="F305:F306" si="56">SUM(C305:E305)</f>
        <v>0</v>
      </c>
      <c r="G305" s="104">
        <v>0</v>
      </c>
      <c r="H305" s="104">
        <f t="shared" si="40"/>
        <v>0</v>
      </c>
      <c r="I305" s="104">
        <v>0</v>
      </c>
      <c r="J305" s="104">
        <v>0</v>
      </c>
      <c r="K305" s="147">
        <f t="shared" si="46"/>
        <v>0</v>
      </c>
      <c r="L305" s="104">
        <v>0</v>
      </c>
      <c r="M305" s="103">
        <v>0</v>
      </c>
      <c r="N305" s="102">
        <f t="shared" si="41"/>
        <v>0</v>
      </c>
      <c r="O305" s="104">
        <v>0</v>
      </c>
      <c r="P305" s="104">
        <v>0</v>
      </c>
      <c r="Q305" s="177">
        <f t="shared" si="45"/>
        <v>0</v>
      </c>
    </row>
    <row r="306" spans="1:18" ht="17.25" customHeight="1" thickBot="1" x14ac:dyDescent="0.3">
      <c r="A306" s="55" t="s">
        <v>215</v>
      </c>
      <c r="B306" s="45"/>
      <c r="C306" s="106">
        <v>0</v>
      </c>
      <c r="D306" s="106">
        <v>0</v>
      </c>
      <c r="E306" s="107">
        <v>0</v>
      </c>
      <c r="F306" s="106">
        <f t="shared" si="56"/>
        <v>0</v>
      </c>
      <c r="G306" s="106">
        <v>0</v>
      </c>
      <c r="H306" s="106">
        <f t="shared" si="40"/>
        <v>0</v>
      </c>
      <c r="I306" s="106">
        <v>0</v>
      </c>
      <c r="J306" s="106">
        <v>0</v>
      </c>
      <c r="K306" s="209">
        <f t="shared" si="46"/>
        <v>0</v>
      </c>
      <c r="L306" s="106">
        <v>0</v>
      </c>
      <c r="M306" s="137">
        <v>0</v>
      </c>
      <c r="N306" s="108">
        <f t="shared" si="41"/>
        <v>0</v>
      </c>
      <c r="O306" s="106">
        <v>0</v>
      </c>
      <c r="P306" s="106">
        <v>0</v>
      </c>
      <c r="Q306" s="186">
        <f t="shared" si="45"/>
        <v>0</v>
      </c>
    </row>
    <row r="307" spans="1:18" ht="16.5" customHeight="1" thickBot="1" x14ac:dyDescent="0.3">
      <c r="A307" s="56" t="s">
        <v>33</v>
      </c>
      <c r="B307" s="50"/>
      <c r="C307" s="42">
        <f t="shared" ref="C307" si="57">SUM(C309:C316)</f>
        <v>146292.67000000001</v>
      </c>
      <c r="D307" s="42">
        <f t="shared" ref="D307:J307" si="58">SUM(D309:D316)</f>
        <v>-141.66</v>
      </c>
      <c r="E307" s="88">
        <f t="shared" si="58"/>
        <v>162688.91999999998</v>
      </c>
      <c r="F307" s="42">
        <f t="shared" si="58"/>
        <v>308839.93</v>
      </c>
      <c r="G307" s="42">
        <f t="shared" si="58"/>
        <v>-15200</v>
      </c>
      <c r="H307" s="42">
        <f t="shared" si="58"/>
        <v>292450.93</v>
      </c>
      <c r="I307" s="42">
        <f t="shared" si="58"/>
        <v>1894.32</v>
      </c>
      <c r="J307" s="42">
        <f t="shared" si="58"/>
        <v>-3159.5</v>
      </c>
      <c r="K307" s="153">
        <f>SUM(K309:K316)</f>
        <v>288113.28000000003</v>
      </c>
      <c r="L307" s="123">
        <f>SUM(L309:L316)</f>
        <v>0</v>
      </c>
      <c r="M307" s="124">
        <f>SUM(M309:M316)</f>
        <v>-660</v>
      </c>
      <c r="N307" s="123">
        <f t="shared" si="41"/>
        <v>287453.28000000003</v>
      </c>
      <c r="O307" s="123">
        <f>SUM(O309:O316)</f>
        <v>0</v>
      </c>
      <c r="P307" s="123">
        <f>SUM(P309:P316)</f>
        <v>-21</v>
      </c>
      <c r="Q307" s="176">
        <f t="shared" si="45"/>
        <v>287432.28000000003</v>
      </c>
      <c r="R307" s="122"/>
    </row>
    <row r="308" spans="1:18" ht="15" customHeight="1" x14ac:dyDescent="0.25">
      <c r="A308" s="57" t="s">
        <v>27</v>
      </c>
      <c r="B308" s="47"/>
      <c r="C308" s="16"/>
      <c r="D308" s="16"/>
      <c r="E308" s="82"/>
      <c r="F308" s="16"/>
      <c r="G308" s="16"/>
      <c r="H308" s="102"/>
      <c r="I308" s="102"/>
      <c r="J308" s="102"/>
      <c r="K308" s="147"/>
      <c r="L308" s="102"/>
      <c r="M308" s="103"/>
      <c r="N308" s="102"/>
      <c r="O308" s="102"/>
      <c r="P308" s="102"/>
      <c r="Q308" s="169"/>
    </row>
    <row r="309" spans="1:18" ht="15.75" customHeight="1" x14ac:dyDescent="0.25">
      <c r="A309" s="54" t="s">
        <v>216</v>
      </c>
      <c r="B309" s="49"/>
      <c r="C309" s="104">
        <v>1600</v>
      </c>
      <c r="D309" s="104">
        <v>0</v>
      </c>
      <c r="E309" s="105">
        <v>4456.45</v>
      </c>
      <c r="F309" s="104">
        <f>SUM(C309:E309)</f>
        <v>6056.45</v>
      </c>
      <c r="G309" s="104">
        <v>0</v>
      </c>
      <c r="H309" s="104">
        <f t="shared" si="40"/>
        <v>6056.45</v>
      </c>
      <c r="I309" s="104">
        <v>0</v>
      </c>
      <c r="J309" s="104">
        <f>-121</f>
        <v>-121</v>
      </c>
      <c r="K309" s="147">
        <f>SUM(H309:J309)-45.47</f>
        <v>5889.98</v>
      </c>
      <c r="L309" s="104">
        <v>0</v>
      </c>
      <c r="M309" s="103">
        <f>-350</f>
        <v>-350</v>
      </c>
      <c r="N309" s="102">
        <f t="shared" si="41"/>
        <v>5539.98</v>
      </c>
      <c r="O309" s="104">
        <v>0</v>
      </c>
      <c r="P309" s="104">
        <v>0</v>
      </c>
      <c r="Q309" s="177">
        <f t="shared" si="45"/>
        <v>5539.98</v>
      </c>
    </row>
    <row r="310" spans="1:18" ht="17.25" customHeight="1" x14ac:dyDescent="0.25">
      <c r="A310" s="54" t="s">
        <v>217</v>
      </c>
      <c r="B310" s="49"/>
      <c r="C310" s="104">
        <v>3100</v>
      </c>
      <c r="D310" s="104">
        <f>-81.66</f>
        <v>-81.66</v>
      </c>
      <c r="E310" s="105">
        <v>4753.5600000000004</v>
      </c>
      <c r="F310" s="104">
        <f t="shared" ref="F310:F316" si="59">SUM(C310:E310)</f>
        <v>7771.9000000000005</v>
      </c>
      <c r="G310" s="104">
        <v>0</v>
      </c>
      <c r="H310" s="104">
        <f>SUM(F310:G310)-1181</f>
        <v>6590.9000000000005</v>
      </c>
      <c r="I310" s="104">
        <v>0</v>
      </c>
      <c r="J310" s="104">
        <f>-161</f>
        <v>-161</v>
      </c>
      <c r="K310" s="147">
        <f>SUM(H310:J310)-3027</f>
        <v>3402.9000000000005</v>
      </c>
      <c r="L310" s="104">
        <v>0</v>
      </c>
      <c r="M310" s="103">
        <f>-310</f>
        <v>-310</v>
      </c>
      <c r="N310" s="102">
        <f t="shared" si="41"/>
        <v>3092.9000000000005</v>
      </c>
      <c r="O310" s="104">
        <v>0</v>
      </c>
      <c r="P310" s="104">
        <v>0</v>
      </c>
      <c r="Q310" s="177">
        <f t="shared" si="45"/>
        <v>3092.9000000000005</v>
      </c>
    </row>
    <row r="311" spans="1:18" ht="16.5" customHeight="1" x14ac:dyDescent="0.25">
      <c r="A311" s="17" t="s">
        <v>218</v>
      </c>
      <c r="B311" s="49"/>
      <c r="C311" s="104">
        <v>1300</v>
      </c>
      <c r="D311" s="104">
        <f>-60</f>
        <v>-60</v>
      </c>
      <c r="E311" s="105">
        <v>2267.6799999999998</v>
      </c>
      <c r="F311" s="104">
        <f t="shared" si="59"/>
        <v>3507.68</v>
      </c>
      <c r="G311" s="104">
        <v>0</v>
      </c>
      <c r="H311" s="104">
        <f t="shared" si="40"/>
        <v>3507.68</v>
      </c>
      <c r="I311" s="104">
        <v>0</v>
      </c>
      <c r="J311" s="104">
        <v>0</v>
      </c>
      <c r="K311" s="147">
        <f t="shared" si="46"/>
        <v>3507.68</v>
      </c>
      <c r="L311" s="104">
        <v>0</v>
      </c>
      <c r="M311" s="103">
        <v>0</v>
      </c>
      <c r="N311" s="102">
        <f t="shared" si="41"/>
        <v>3507.68</v>
      </c>
      <c r="O311" s="104">
        <v>0</v>
      </c>
      <c r="P311" s="104">
        <f>-21</f>
        <v>-21</v>
      </c>
      <c r="Q311" s="177">
        <f t="shared" si="45"/>
        <v>3486.68</v>
      </c>
    </row>
    <row r="312" spans="1:18" ht="17.25" customHeight="1" x14ac:dyDescent="0.25">
      <c r="A312" s="54" t="s">
        <v>219</v>
      </c>
      <c r="B312" s="49"/>
      <c r="C312" s="104">
        <v>2900</v>
      </c>
      <c r="D312" s="104">
        <v>0</v>
      </c>
      <c r="E312" s="105">
        <v>5211.2</v>
      </c>
      <c r="F312" s="104">
        <f t="shared" si="59"/>
        <v>8111.2</v>
      </c>
      <c r="G312" s="104">
        <v>0</v>
      </c>
      <c r="H312" s="104">
        <f t="shared" si="40"/>
        <v>8111.2</v>
      </c>
      <c r="I312" s="104">
        <v>0</v>
      </c>
      <c r="J312" s="104">
        <f>-2598-279.5</f>
        <v>-2877.5</v>
      </c>
      <c r="K312" s="147">
        <f t="shared" si="46"/>
        <v>5233.7</v>
      </c>
      <c r="L312" s="104">
        <v>0</v>
      </c>
      <c r="M312" s="103">
        <v>0</v>
      </c>
      <c r="N312" s="102">
        <f t="shared" si="41"/>
        <v>5233.7</v>
      </c>
      <c r="O312" s="104">
        <v>0</v>
      </c>
      <c r="P312" s="104">
        <v>0</v>
      </c>
      <c r="Q312" s="177">
        <f t="shared" si="45"/>
        <v>5233.7</v>
      </c>
    </row>
    <row r="313" spans="1:18" ht="16.5" customHeight="1" x14ac:dyDescent="0.25">
      <c r="A313" s="17" t="s">
        <v>220</v>
      </c>
      <c r="B313" s="49"/>
      <c r="C313" s="104">
        <v>1100</v>
      </c>
      <c r="D313" s="104">
        <v>0</v>
      </c>
      <c r="E313" s="105">
        <v>579</v>
      </c>
      <c r="F313" s="104">
        <f t="shared" si="59"/>
        <v>1679</v>
      </c>
      <c r="G313" s="104">
        <v>0</v>
      </c>
      <c r="H313" s="104">
        <f>SUM(F313:G313)-8</f>
        <v>1671</v>
      </c>
      <c r="I313" s="104">
        <v>0</v>
      </c>
      <c r="J313" s="104">
        <v>0</v>
      </c>
      <c r="K313" s="115">
        <f t="shared" si="46"/>
        <v>1671</v>
      </c>
      <c r="L313" s="104">
        <v>0</v>
      </c>
      <c r="M313" s="103">
        <v>0</v>
      </c>
      <c r="N313" s="102">
        <f t="shared" si="41"/>
        <v>1671</v>
      </c>
      <c r="O313" s="104">
        <v>0</v>
      </c>
      <c r="P313" s="104">
        <v>0</v>
      </c>
      <c r="Q313" s="177">
        <f t="shared" si="45"/>
        <v>1671</v>
      </c>
    </row>
    <row r="314" spans="1:18" ht="26.25" customHeight="1" x14ac:dyDescent="0.25">
      <c r="A314" s="17" t="s">
        <v>221</v>
      </c>
      <c r="B314" s="49"/>
      <c r="C314" s="104">
        <v>2677.75</v>
      </c>
      <c r="D314" s="104">
        <v>0</v>
      </c>
      <c r="E314" s="105">
        <v>0</v>
      </c>
      <c r="F314" s="104">
        <f t="shared" si="59"/>
        <v>2677.75</v>
      </c>
      <c r="G314" s="104">
        <v>0</v>
      </c>
      <c r="H314" s="104">
        <f t="shared" si="40"/>
        <v>2677.75</v>
      </c>
      <c r="I314" s="104">
        <v>0</v>
      </c>
      <c r="J314" s="104">
        <v>0</v>
      </c>
      <c r="K314" s="147">
        <f t="shared" si="46"/>
        <v>2677.75</v>
      </c>
      <c r="L314" s="104">
        <v>0</v>
      </c>
      <c r="M314" s="103">
        <v>0</v>
      </c>
      <c r="N314" s="102">
        <f t="shared" si="41"/>
        <v>2677.75</v>
      </c>
      <c r="O314" s="104">
        <v>0</v>
      </c>
      <c r="P314" s="104">
        <v>0</v>
      </c>
      <c r="Q314" s="177">
        <f t="shared" si="45"/>
        <v>2677.75</v>
      </c>
    </row>
    <row r="315" spans="1:18" ht="24.75" customHeight="1" x14ac:dyDescent="0.25">
      <c r="A315" s="17" t="s">
        <v>222</v>
      </c>
      <c r="B315" s="49"/>
      <c r="C315" s="19">
        <v>133614.92000000001</v>
      </c>
      <c r="D315" s="19">
        <v>0</v>
      </c>
      <c r="E315" s="83">
        <v>145421.03</v>
      </c>
      <c r="F315" s="19">
        <f t="shared" si="59"/>
        <v>279035.95</v>
      </c>
      <c r="G315" s="19">
        <f>-4200-11000</f>
        <v>-15200</v>
      </c>
      <c r="H315" s="104">
        <f t="shared" si="40"/>
        <v>263835.95</v>
      </c>
      <c r="I315" s="104">
        <v>1894.32</v>
      </c>
      <c r="J315" s="104">
        <v>0</v>
      </c>
      <c r="K315" s="147">
        <f t="shared" si="46"/>
        <v>265730.27</v>
      </c>
      <c r="L315" s="104">
        <v>0</v>
      </c>
      <c r="M315" s="103">
        <v>0</v>
      </c>
      <c r="N315" s="102">
        <f t="shared" si="41"/>
        <v>265730.27</v>
      </c>
      <c r="O315" s="104">
        <v>0</v>
      </c>
      <c r="P315" s="104">
        <v>0</v>
      </c>
      <c r="Q315" s="177">
        <f t="shared" si="45"/>
        <v>265730.27</v>
      </c>
    </row>
    <row r="316" spans="1:18" ht="15.75" customHeight="1" thickBot="1" x14ac:dyDescent="0.3">
      <c r="A316" s="55" t="s">
        <v>223</v>
      </c>
      <c r="B316" s="45"/>
      <c r="C316" s="22">
        <v>0</v>
      </c>
      <c r="D316" s="22">
        <v>0</v>
      </c>
      <c r="E316" s="84">
        <v>0</v>
      </c>
      <c r="F316" s="22">
        <f t="shared" si="59"/>
        <v>0</v>
      </c>
      <c r="G316" s="22">
        <v>0</v>
      </c>
      <c r="H316" s="106">
        <f t="shared" si="40"/>
        <v>0</v>
      </c>
      <c r="I316" s="106">
        <v>0</v>
      </c>
      <c r="J316" s="106">
        <v>0</v>
      </c>
      <c r="K316" s="113">
        <f t="shared" si="46"/>
        <v>0</v>
      </c>
      <c r="L316" s="106">
        <v>0</v>
      </c>
      <c r="M316" s="107">
        <v>0</v>
      </c>
      <c r="N316" s="106">
        <f t="shared" si="41"/>
        <v>0</v>
      </c>
      <c r="O316" s="106">
        <v>0</v>
      </c>
      <c r="P316" s="106">
        <v>0</v>
      </c>
      <c r="Q316" s="186">
        <f t="shared" si="45"/>
        <v>0</v>
      </c>
    </row>
    <row r="317" spans="1:18" ht="15" customHeight="1" thickBot="1" x14ac:dyDescent="0.3">
      <c r="A317" s="56" t="s">
        <v>41</v>
      </c>
      <c r="B317" s="50"/>
      <c r="C317" s="42">
        <f t="shared" ref="C317:J317" si="60">SUM(C319:C321)</f>
        <v>14737.300000000001</v>
      </c>
      <c r="D317" s="42">
        <f t="shared" si="60"/>
        <v>8656.35</v>
      </c>
      <c r="E317" s="88">
        <f t="shared" si="60"/>
        <v>834.93000000000006</v>
      </c>
      <c r="F317" s="42">
        <f t="shared" si="60"/>
        <v>24228.58</v>
      </c>
      <c r="G317" s="42">
        <f t="shared" si="60"/>
        <v>1363.46</v>
      </c>
      <c r="H317" s="42">
        <f t="shared" si="60"/>
        <v>26605.34</v>
      </c>
      <c r="I317" s="42">
        <f t="shared" si="60"/>
        <v>21000</v>
      </c>
      <c r="J317" s="42">
        <f t="shared" si="60"/>
        <v>4143.5</v>
      </c>
      <c r="K317" s="153">
        <f>SUM(K319:K321)</f>
        <v>51875.839999999997</v>
      </c>
      <c r="L317" s="123">
        <f>SUM(L319:L321)</f>
        <v>1840</v>
      </c>
      <c r="M317" s="124">
        <f>SUM(M319:M321)</f>
        <v>97</v>
      </c>
      <c r="N317" s="123">
        <f t="shared" si="41"/>
        <v>53812.84</v>
      </c>
      <c r="O317" s="123">
        <f>SUM(O319:O321)</f>
        <v>0</v>
      </c>
      <c r="P317" s="123">
        <f>SUM(P319:P321)</f>
        <v>-475.34</v>
      </c>
      <c r="Q317" s="176">
        <f t="shared" si="45"/>
        <v>53337.5</v>
      </c>
      <c r="R317" s="122"/>
    </row>
    <row r="318" spans="1:18" ht="15.75" customHeight="1" x14ac:dyDescent="0.25">
      <c r="A318" s="57" t="s">
        <v>27</v>
      </c>
      <c r="B318" s="47"/>
      <c r="C318" s="16"/>
      <c r="D318" s="16"/>
      <c r="E318" s="82"/>
      <c r="F318" s="16"/>
      <c r="G318" s="16"/>
      <c r="H318" s="102"/>
      <c r="I318" s="102"/>
      <c r="J318" s="102"/>
      <c r="K318" s="147"/>
      <c r="L318" s="102"/>
      <c r="M318" s="103"/>
      <c r="N318" s="102"/>
      <c r="O318" s="102"/>
      <c r="P318" s="102"/>
      <c r="Q318" s="169"/>
    </row>
    <row r="319" spans="1:18" ht="16.5" customHeight="1" x14ac:dyDescent="0.25">
      <c r="A319" s="54" t="s">
        <v>213</v>
      </c>
      <c r="B319" s="49"/>
      <c r="C319" s="19">
        <v>13059.1</v>
      </c>
      <c r="D319" s="19">
        <f>7964.48-27.59+281.78+437.68</f>
        <v>8656.35</v>
      </c>
      <c r="E319" s="83">
        <v>610</v>
      </c>
      <c r="F319" s="19">
        <f t="shared" ref="F319:F321" si="61">SUM(C319:E319)</f>
        <v>22325.45</v>
      </c>
      <c r="G319" s="19">
        <f>45+1300+18.46</f>
        <v>1363.46</v>
      </c>
      <c r="H319" s="104">
        <f>SUM(F319:G319)+1013.3</f>
        <v>24702.21</v>
      </c>
      <c r="I319" s="104">
        <v>0</v>
      </c>
      <c r="J319" s="104">
        <f>132+1539+2472.5</f>
        <v>4143.5</v>
      </c>
      <c r="K319" s="147">
        <f>SUM(H319:J319)+84</f>
        <v>28929.71</v>
      </c>
      <c r="L319" s="104">
        <f>1610</f>
        <v>1610</v>
      </c>
      <c r="M319" s="103">
        <f>97</f>
        <v>97</v>
      </c>
      <c r="N319" s="102">
        <f t="shared" ref="N319:N382" si="62">SUM(K319:M319)</f>
        <v>30636.71</v>
      </c>
      <c r="O319" s="104">
        <v>0</v>
      </c>
      <c r="P319" s="104">
        <f>1005-1489+2.66</f>
        <v>-481.34</v>
      </c>
      <c r="Q319" s="177">
        <f t="shared" si="45"/>
        <v>30155.37</v>
      </c>
    </row>
    <row r="320" spans="1:18" ht="27.75" customHeight="1" x14ac:dyDescent="0.25">
      <c r="A320" s="17" t="s">
        <v>333</v>
      </c>
      <c r="B320" s="49"/>
      <c r="C320" s="104">
        <v>0</v>
      </c>
      <c r="D320" s="104"/>
      <c r="E320" s="105"/>
      <c r="F320" s="104"/>
      <c r="G320" s="104"/>
      <c r="H320" s="104">
        <v>0</v>
      </c>
      <c r="I320" s="104">
        <v>21000</v>
      </c>
      <c r="J320" s="104">
        <v>0</v>
      </c>
      <c r="K320" s="147">
        <f t="shared" si="46"/>
        <v>21000</v>
      </c>
      <c r="L320" s="104">
        <v>0</v>
      </c>
      <c r="M320" s="103">
        <v>0</v>
      </c>
      <c r="N320" s="102">
        <f t="shared" si="62"/>
        <v>21000</v>
      </c>
      <c r="O320" s="104">
        <v>0</v>
      </c>
      <c r="P320" s="104">
        <v>0</v>
      </c>
      <c r="Q320" s="177">
        <f t="shared" si="45"/>
        <v>21000</v>
      </c>
    </row>
    <row r="321" spans="1:18" ht="16.5" customHeight="1" thickBot="1" x14ac:dyDescent="0.3">
      <c r="A321" s="20" t="s">
        <v>224</v>
      </c>
      <c r="B321" s="45"/>
      <c r="C321" s="22">
        <v>1678.2</v>
      </c>
      <c r="D321" s="22">
        <v>0</v>
      </c>
      <c r="E321" s="84">
        <v>224.93</v>
      </c>
      <c r="F321" s="22">
        <f t="shared" si="61"/>
        <v>1903.13</v>
      </c>
      <c r="G321" s="22">
        <v>0</v>
      </c>
      <c r="H321" s="106">
        <f t="shared" si="40"/>
        <v>1903.13</v>
      </c>
      <c r="I321" s="106">
        <v>0</v>
      </c>
      <c r="J321" s="106">
        <v>0</v>
      </c>
      <c r="K321" s="209">
        <f>SUM(H321:J321)+43</f>
        <v>1946.13</v>
      </c>
      <c r="L321" s="106">
        <f>230</f>
        <v>230</v>
      </c>
      <c r="M321" s="137">
        <v>0</v>
      </c>
      <c r="N321" s="108">
        <f t="shared" si="62"/>
        <v>2176.13</v>
      </c>
      <c r="O321" s="106">
        <v>0</v>
      </c>
      <c r="P321" s="106">
        <f>6</f>
        <v>6</v>
      </c>
      <c r="Q321" s="186">
        <f t="shared" si="45"/>
        <v>2182.13</v>
      </c>
    </row>
    <row r="322" spans="1:18" ht="16.5" customHeight="1" thickBot="1" x14ac:dyDescent="0.3">
      <c r="A322" s="69" t="s">
        <v>43</v>
      </c>
      <c r="B322" s="46"/>
      <c r="C322" s="70">
        <f t="shared" ref="C322" si="63">SUM(C324:C325)</f>
        <v>0</v>
      </c>
      <c r="D322" s="70">
        <f t="shared" ref="D322:J322" si="64">SUM(D324:D325)</f>
        <v>0</v>
      </c>
      <c r="E322" s="88">
        <f t="shared" si="64"/>
        <v>0</v>
      </c>
      <c r="F322" s="42">
        <f t="shared" si="64"/>
        <v>0</v>
      </c>
      <c r="G322" s="42">
        <f t="shared" si="64"/>
        <v>0</v>
      </c>
      <c r="H322" s="42">
        <f t="shared" si="64"/>
        <v>0</v>
      </c>
      <c r="I322" s="42">
        <f t="shared" si="64"/>
        <v>0</v>
      </c>
      <c r="J322" s="42">
        <f t="shared" si="64"/>
        <v>0</v>
      </c>
      <c r="K322" s="153">
        <f t="shared" si="46"/>
        <v>0</v>
      </c>
      <c r="L322" s="123">
        <f>SUM(L324:L325)</f>
        <v>0</v>
      </c>
      <c r="M322" s="124">
        <f>SUM(M324:M325)</f>
        <v>0</v>
      </c>
      <c r="N322" s="123">
        <f t="shared" si="62"/>
        <v>0</v>
      </c>
      <c r="O322" s="123">
        <f>SUM(O324:O325)</f>
        <v>0</v>
      </c>
      <c r="P322" s="123">
        <f>SUM(P324:P325)</f>
        <v>0</v>
      </c>
      <c r="Q322" s="176">
        <f t="shared" si="45"/>
        <v>0</v>
      </c>
      <c r="R322" s="122"/>
    </row>
    <row r="323" spans="1:18" ht="15" customHeight="1" x14ac:dyDescent="0.25">
      <c r="A323" s="57" t="s">
        <v>27</v>
      </c>
      <c r="B323" s="47"/>
      <c r="C323" s="16"/>
      <c r="D323" s="16"/>
      <c r="E323" s="82"/>
      <c r="F323" s="16"/>
      <c r="G323" s="16"/>
      <c r="H323" s="102"/>
      <c r="I323" s="102"/>
      <c r="J323" s="102"/>
      <c r="K323" s="147"/>
      <c r="L323" s="102"/>
      <c r="M323" s="103"/>
      <c r="N323" s="102"/>
      <c r="O323" s="102"/>
      <c r="P323" s="102"/>
      <c r="Q323" s="169"/>
    </row>
    <row r="324" spans="1:18" ht="17.25" customHeight="1" x14ac:dyDescent="0.25">
      <c r="A324" s="54" t="s">
        <v>213</v>
      </c>
      <c r="B324" s="49"/>
      <c r="C324" s="19">
        <v>0</v>
      </c>
      <c r="D324" s="19">
        <v>0</v>
      </c>
      <c r="E324" s="83">
        <v>0</v>
      </c>
      <c r="F324" s="19">
        <f>SUM(C324:E324)</f>
        <v>0</v>
      </c>
      <c r="G324" s="19">
        <v>0</v>
      </c>
      <c r="H324" s="104">
        <f t="shared" si="40"/>
        <v>0</v>
      </c>
      <c r="I324" s="104">
        <v>0</v>
      </c>
      <c r="J324" s="104">
        <v>0</v>
      </c>
      <c r="K324" s="147">
        <f t="shared" si="46"/>
        <v>0</v>
      </c>
      <c r="L324" s="104">
        <v>0</v>
      </c>
      <c r="M324" s="103">
        <v>0</v>
      </c>
      <c r="N324" s="102">
        <f t="shared" si="62"/>
        <v>0</v>
      </c>
      <c r="O324" s="104">
        <v>0</v>
      </c>
      <c r="P324" s="104">
        <v>0</v>
      </c>
      <c r="Q324" s="177">
        <f t="shared" si="45"/>
        <v>0</v>
      </c>
    </row>
    <row r="325" spans="1:18" ht="17.25" customHeight="1" thickBot="1" x14ac:dyDescent="0.3">
      <c r="A325" s="55" t="s">
        <v>225</v>
      </c>
      <c r="B325" s="45"/>
      <c r="C325" s="22">
        <v>0</v>
      </c>
      <c r="D325" s="22">
        <v>0</v>
      </c>
      <c r="E325" s="84">
        <v>0</v>
      </c>
      <c r="F325" s="22">
        <f>SUM(C325:E325)</f>
        <v>0</v>
      </c>
      <c r="G325" s="22">
        <v>0</v>
      </c>
      <c r="H325" s="106">
        <f t="shared" ref="H325:H391" si="65">SUM(F325:G325)</f>
        <v>0</v>
      </c>
      <c r="I325" s="106">
        <v>0</v>
      </c>
      <c r="J325" s="106">
        <v>0</v>
      </c>
      <c r="K325" s="113">
        <f t="shared" si="46"/>
        <v>0</v>
      </c>
      <c r="L325" s="106">
        <v>0</v>
      </c>
      <c r="M325" s="107">
        <v>0</v>
      </c>
      <c r="N325" s="106">
        <f t="shared" si="62"/>
        <v>0</v>
      </c>
      <c r="O325" s="106">
        <v>0</v>
      </c>
      <c r="P325" s="106">
        <v>0</v>
      </c>
      <c r="Q325" s="186">
        <f t="shared" si="45"/>
        <v>0</v>
      </c>
    </row>
    <row r="326" spans="1:18" ht="15.75" customHeight="1" thickBot="1" x14ac:dyDescent="0.3">
      <c r="A326" s="56" t="s">
        <v>47</v>
      </c>
      <c r="B326" s="50"/>
      <c r="C326" s="42">
        <f t="shared" ref="C326:J326" si="66">SUM(C328:C346)</f>
        <v>2850</v>
      </c>
      <c r="D326" s="42">
        <f t="shared" si="66"/>
        <v>270</v>
      </c>
      <c r="E326" s="88">
        <f t="shared" si="66"/>
        <v>5845.42</v>
      </c>
      <c r="F326" s="42">
        <f t="shared" si="66"/>
        <v>8965.42</v>
      </c>
      <c r="G326" s="42">
        <f t="shared" si="66"/>
        <v>0</v>
      </c>
      <c r="H326" s="42">
        <f t="shared" si="66"/>
        <v>8605.42</v>
      </c>
      <c r="I326" s="42">
        <f t="shared" si="66"/>
        <v>-570</v>
      </c>
      <c r="J326" s="42">
        <f t="shared" si="66"/>
        <v>9644.5</v>
      </c>
      <c r="K326" s="153">
        <f t="shared" si="46"/>
        <v>17679.919999999998</v>
      </c>
      <c r="L326" s="123">
        <f>SUM(L328:L346)</f>
        <v>-140</v>
      </c>
      <c r="M326" s="124">
        <f>SUM(M328:M346)</f>
        <v>900</v>
      </c>
      <c r="N326" s="123">
        <f t="shared" si="62"/>
        <v>18439.919999999998</v>
      </c>
      <c r="O326" s="123">
        <f>SUM(O328:O346)</f>
        <v>0</v>
      </c>
      <c r="P326" s="123">
        <f>SUM(P328:P346)</f>
        <v>125</v>
      </c>
      <c r="Q326" s="176">
        <f t="shared" si="45"/>
        <v>18564.919999999998</v>
      </c>
      <c r="R326" s="122"/>
    </row>
    <row r="327" spans="1:18" ht="15.75" customHeight="1" x14ac:dyDescent="0.25">
      <c r="A327" s="57" t="s">
        <v>27</v>
      </c>
      <c r="B327" s="47"/>
      <c r="C327" s="16"/>
      <c r="D327" s="16"/>
      <c r="E327" s="82"/>
      <c r="F327" s="16"/>
      <c r="G327" s="16"/>
      <c r="H327" s="102"/>
      <c r="I327" s="102"/>
      <c r="J327" s="102"/>
      <c r="K327" s="147"/>
      <c r="L327" s="102"/>
      <c r="M327" s="103"/>
      <c r="N327" s="102"/>
      <c r="O327" s="102"/>
      <c r="P327" s="102"/>
      <c r="Q327" s="169"/>
    </row>
    <row r="328" spans="1:18" ht="16.5" customHeight="1" x14ac:dyDescent="0.25">
      <c r="A328" s="54" t="s">
        <v>213</v>
      </c>
      <c r="B328" s="49"/>
      <c r="C328" s="104">
        <v>2850</v>
      </c>
      <c r="D328" s="104">
        <f>130+140</f>
        <v>270</v>
      </c>
      <c r="E328" s="105">
        <v>1965</v>
      </c>
      <c r="F328" s="104">
        <f>SUM(C328:E328)</f>
        <v>5085</v>
      </c>
      <c r="G328" s="104">
        <v>0</v>
      </c>
      <c r="H328" s="104">
        <f>SUM(F328:G328)-360</f>
        <v>4725</v>
      </c>
      <c r="I328" s="104">
        <v>-1400</v>
      </c>
      <c r="J328" s="104">
        <f>9100+279.5+220</f>
        <v>9599.5</v>
      </c>
      <c r="K328" s="147">
        <f t="shared" si="46"/>
        <v>12924.5</v>
      </c>
      <c r="L328" s="104">
        <v>0</v>
      </c>
      <c r="M328" s="103">
        <f>1600</f>
        <v>1600</v>
      </c>
      <c r="N328" s="102">
        <f t="shared" si="62"/>
        <v>14524.5</v>
      </c>
      <c r="O328" s="104">
        <v>0</v>
      </c>
      <c r="P328" s="104">
        <f>125</f>
        <v>125</v>
      </c>
      <c r="Q328" s="177">
        <f t="shared" si="45"/>
        <v>14649.5</v>
      </c>
    </row>
    <row r="329" spans="1:18" ht="27.75" customHeight="1" x14ac:dyDescent="0.25">
      <c r="A329" s="17" t="s">
        <v>274</v>
      </c>
      <c r="B329" s="49" t="s">
        <v>36</v>
      </c>
      <c r="C329" s="104">
        <v>0</v>
      </c>
      <c r="D329" s="114">
        <v>0</v>
      </c>
      <c r="E329" s="115">
        <v>240</v>
      </c>
      <c r="F329" s="104">
        <f t="shared" ref="F329:F344" si="67">SUM(C329:E329)</f>
        <v>240</v>
      </c>
      <c r="G329" s="104">
        <v>0</v>
      </c>
      <c r="H329" s="104">
        <f t="shared" si="65"/>
        <v>240</v>
      </c>
      <c r="I329" s="104">
        <v>0</v>
      </c>
      <c r="J329" s="104">
        <v>0</v>
      </c>
      <c r="K329" s="147">
        <f t="shared" si="46"/>
        <v>240</v>
      </c>
      <c r="L329" s="104">
        <v>0</v>
      </c>
      <c r="M329" s="103">
        <v>0</v>
      </c>
      <c r="N329" s="102">
        <f t="shared" si="62"/>
        <v>240</v>
      </c>
      <c r="O329" s="104">
        <v>0</v>
      </c>
      <c r="P329" s="104">
        <v>0</v>
      </c>
      <c r="Q329" s="177">
        <f t="shared" si="45"/>
        <v>240</v>
      </c>
    </row>
    <row r="330" spans="1:18" ht="29.25" customHeight="1" x14ac:dyDescent="0.25">
      <c r="A330" s="17" t="s">
        <v>275</v>
      </c>
      <c r="B330" s="49" t="s">
        <v>36</v>
      </c>
      <c r="C330" s="104">
        <v>0</v>
      </c>
      <c r="D330" s="114">
        <v>0</v>
      </c>
      <c r="E330" s="115">
        <v>750</v>
      </c>
      <c r="F330" s="104">
        <f t="shared" si="67"/>
        <v>750</v>
      </c>
      <c r="G330" s="104">
        <v>0</v>
      </c>
      <c r="H330" s="104">
        <f t="shared" si="65"/>
        <v>750</v>
      </c>
      <c r="I330" s="104">
        <v>0</v>
      </c>
      <c r="J330" s="104">
        <v>0</v>
      </c>
      <c r="K330" s="147">
        <f t="shared" si="46"/>
        <v>750</v>
      </c>
      <c r="L330" s="104">
        <v>0</v>
      </c>
      <c r="M330" s="103">
        <v>0</v>
      </c>
      <c r="N330" s="102">
        <f t="shared" si="62"/>
        <v>750</v>
      </c>
      <c r="O330" s="104">
        <v>0</v>
      </c>
      <c r="P330" s="104">
        <v>0</v>
      </c>
      <c r="Q330" s="177">
        <f t="shared" si="45"/>
        <v>750</v>
      </c>
    </row>
    <row r="331" spans="1:18" ht="28.5" customHeight="1" x14ac:dyDescent="0.25">
      <c r="A331" s="17" t="s">
        <v>276</v>
      </c>
      <c r="B331" s="49" t="s">
        <v>36</v>
      </c>
      <c r="C331" s="104">
        <v>0</v>
      </c>
      <c r="D331" s="114">
        <v>0</v>
      </c>
      <c r="E331" s="115">
        <v>60</v>
      </c>
      <c r="F331" s="104">
        <f t="shared" si="67"/>
        <v>60</v>
      </c>
      <c r="G331" s="104">
        <v>0</v>
      </c>
      <c r="H331" s="104">
        <f t="shared" si="65"/>
        <v>60</v>
      </c>
      <c r="I331" s="104">
        <v>0</v>
      </c>
      <c r="J331" s="104">
        <v>0</v>
      </c>
      <c r="K331" s="147">
        <f t="shared" si="46"/>
        <v>60</v>
      </c>
      <c r="L331" s="104">
        <f>-60</f>
        <v>-60</v>
      </c>
      <c r="M331" s="103">
        <v>0</v>
      </c>
      <c r="N331" s="102">
        <f t="shared" si="62"/>
        <v>0</v>
      </c>
      <c r="O331" s="104">
        <v>0</v>
      </c>
      <c r="P331" s="104">
        <v>0</v>
      </c>
      <c r="Q331" s="177">
        <f t="shared" si="45"/>
        <v>0</v>
      </c>
    </row>
    <row r="332" spans="1:18" ht="25.5" customHeight="1" x14ac:dyDescent="0.25">
      <c r="A332" s="17" t="s">
        <v>335</v>
      </c>
      <c r="B332" s="49" t="s">
        <v>36</v>
      </c>
      <c r="C332" s="104">
        <v>0</v>
      </c>
      <c r="D332" s="114"/>
      <c r="E332" s="115"/>
      <c r="F332" s="104"/>
      <c r="G332" s="104"/>
      <c r="H332" s="104">
        <v>0</v>
      </c>
      <c r="I332" s="104">
        <v>80</v>
      </c>
      <c r="J332" s="104">
        <v>0</v>
      </c>
      <c r="K332" s="147">
        <f t="shared" si="46"/>
        <v>80</v>
      </c>
      <c r="L332" s="104">
        <f>-80</f>
        <v>-80</v>
      </c>
      <c r="M332" s="103">
        <v>0</v>
      </c>
      <c r="N332" s="102">
        <f t="shared" si="62"/>
        <v>0</v>
      </c>
      <c r="O332" s="104">
        <v>0</v>
      </c>
      <c r="P332" s="104">
        <v>0</v>
      </c>
      <c r="Q332" s="177">
        <f t="shared" si="45"/>
        <v>0</v>
      </c>
    </row>
    <row r="333" spans="1:18" ht="39.75" customHeight="1" x14ac:dyDescent="0.25">
      <c r="A333" s="17" t="s">
        <v>277</v>
      </c>
      <c r="B333" s="49" t="s">
        <v>271</v>
      </c>
      <c r="C333" s="104">
        <v>0</v>
      </c>
      <c r="D333" s="114">
        <v>0</v>
      </c>
      <c r="E333" s="115">
        <v>68.84</v>
      </c>
      <c r="F333" s="104">
        <f t="shared" si="67"/>
        <v>68.84</v>
      </c>
      <c r="G333" s="104">
        <v>0</v>
      </c>
      <c r="H333" s="104">
        <f t="shared" si="65"/>
        <v>68.84</v>
      </c>
      <c r="I333" s="104">
        <v>0</v>
      </c>
      <c r="J333" s="104">
        <v>0</v>
      </c>
      <c r="K333" s="147">
        <f t="shared" si="46"/>
        <v>68.84</v>
      </c>
      <c r="L333" s="104">
        <v>0</v>
      </c>
      <c r="M333" s="103">
        <v>0</v>
      </c>
      <c r="N333" s="102">
        <f t="shared" si="62"/>
        <v>68.84</v>
      </c>
      <c r="O333" s="104">
        <v>0</v>
      </c>
      <c r="P333" s="104">
        <v>0</v>
      </c>
      <c r="Q333" s="177">
        <f t="shared" si="45"/>
        <v>68.84</v>
      </c>
    </row>
    <row r="334" spans="1:18" ht="36.75" customHeight="1" x14ac:dyDescent="0.25">
      <c r="A334" s="17" t="s">
        <v>278</v>
      </c>
      <c r="B334" s="49" t="s">
        <v>271</v>
      </c>
      <c r="C334" s="104">
        <v>0</v>
      </c>
      <c r="D334" s="114">
        <v>0</v>
      </c>
      <c r="E334" s="115">
        <v>11.58</v>
      </c>
      <c r="F334" s="104">
        <f t="shared" si="67"/>
        <v>11.58</v>
      </c>
      <c r="G334" s="104">
        <v>0</v>
      </c>
      <c r="H334" s="104">
        <f t="shared" si="65"/>
        <v>11.58</v>
      </c>
      <c r="I334" s="104">
        <v>0</v>
      </c>
      <c r="J334" s="104">
        <v>0</v>
      </c>
      <c r="K334" s="147">
        <f t="shared" si="46"/>
        <v>11.58</v>
      </c>
      <c r="L334" s="104">
        <v>0</v>
      </c>
      <c r="M334" s="103">
        <v>0</v>
      </c>
      <c r="N334" s="102">
        <f t="shared" si="62"/>
        <v>11.58</v>
      </c>
      <c r="O334" s="104">
        <v>0</v>
      </c>
      <c r="P334" s="104">
        <v>0</v>
      </c>
      <c r="Q334" s="177">
        <f t="shared" si="45"/>
        <v>11.58</v>
      </c>
    </row>
    <row r="335" spans="1:18" ht="15" customHeight="1" x14ac:dyDescent="0.25">
      <c r="A335" s="54" t="s">
        <v>279</v>
      </c>
      <c r="B335" s="49" t="s">
        <v>36</v>
      </c>
      <c r="C335" s="104">
        <v>0</v>
      </c>
      <c r="D335" s="114">
        <v>0</v>
      </c>
      <c r="E335" s="115">
        <v>140</v>
      </c>
      <c r="F335" s="104">
        <f t="shared" si="67"/>
        <v>140</v>
      </c>
      <c r="G335" s="104">
        <v>0</v>
      </c>
      <c r="H335" s="104">
        <f t="shared" si="65"/>
        <v>140</v>
      </c>
      <c r="I335" s="104">
        <v>0</v>
      </c>
      <c r="J335" s="104">
        <v>0</v>
      </c>
      <c r="K335" s="147">
        <f t="shared" si="46"/>
        <v>140</v>
      </c>
      <c r="L335" s="104">
        <v>0</v>
      </c>
      <c r="M335" s="103">
        <v>0</v>
      </c>
      <c r="N335" s="102">
        <f t="shared" si="62"/>
        <v>140</v>
      </c>
      <c r="O335" s="104">
        <v>0</v>
      </c>
      <c r="P335" s="104">
        <v>0</v>
      </c>
      <c r="Q335" s="177">
        <f t="shared" ref="Q335:Q398" si="68">SUM(N335:P335)</f>
        <v>140</v>
      </c>
    </row>
    <row r="336" spans="1:18" ht="13.5" customHeight="1" x14ac:dyDescent="0.25">
      <c r="A336" s="54" t="s">
        <v>280</v>
      </c>
      <c r="B336" s="49" t="s">
        <v>36</v>
      </c>
      <c r="C336" s="104">
        <v>0</v>
      </c>
      <c r="D336" s="114">
        <v>0</v>
      </c>
      <c r="E336" s="115">
        <v>300</v>
      </c>
      <c r="F336" s="104">
        <f t="shared" si="67"/>
        <v>300</v>
      </c>
      <c r="G336" s="104">
        <v>0</v>
      </c>
      <c r="H336" s="104">
        <f t="shared" si="65"/>
        <v>300</v>
      </c>
      <c r="I336" s="104">
        <v>0</v>
      </c>
      <c r="J336" s="104">
        <v>0</v>
      </c>
      <c r="K336" s="147">
        <f t="shared" si="46"/>
        <v>300</v>
      </c>
      <c r="L336" s="104">
        <v>0</v>
      </c>
      <c r="M336" s="103">
        <v>0</v>
      </c>
      <c r="N336" s="102">
        <f t="shared" si="62"/>
        <v>300</v>
      </c>
      <c r="O336" s="104">
        <v>0</v>
      </c>
      <c r="P336" s="104">
        <v>0</v>
      </c>
      <c r="Q336" s="177">
        <f t="shared" si="68"/>
        <v>300</v>
      </c>
    </row>
    <row r="337" spans="1:18" ht="26.25" customHeight="1" x14ac:dyDescent="0.25">
      <c r="A337" s="17" t="s">
        <v>334</v>
      </c>
      <c r="B337" s="49" t="s">
        <v>36</v>
      </c>
      <c r="C337" s="104">
        <v>0</v>
      </c>
      <c r="D337" s="114"/>
      <c r="E337" s="115"/>
      <c r="F337" s="104"/>
      <c r="G337" s="104"/>
      <c r="H337" s="104">
        <v>0</v>
      </c>
      <c r="I337" s="104">
        <v>200</v>
      </c>
      <c r="J337" s="104">
        <v>0</v>
      </c>
      <c r="K337" s="147">
        <f t="shared" si="46"/>
        <v>200</v>
      </c>
      <c r="L337" s="104">
        <v>0</v>
      </c>
      <c r="M337" s="103">
        <v>0</v>
      </c>
      <c r="N337" s="102">
        <f t="shared" si="62"/>
        <v>200</v>
      </c>
      <c r="O337" s="104">
        <v>0</v>
      </c>
      <c r="P337" s="104">
        <v>0</v>
      </c>
      <c r="Q337" s="177">
        <f t="shared" si="68"/>
        <v>200</v>
      </c>
    </row>
    <row r="338" spans="1:18" ht="24.75" customHeight="1" x14ac:dyDescent="0.25">
      <c r="A338" s="17" t="s">
        <v>336</v>
      </c>
      <c r="B338" s="49" t="s">
        <v>36</v>
      </c>
      <c r="C338" s="104">
        <v>0</v>
      </c>
      <c r="D338" s="114"/>
      <c r="E338" s="115"/>
      <c r="F338" s="104"/>
      <c r="G338" s="104"/>
      <c r="H338" s="104">
        <v>0</v>
      </c>
      <c r="I338" s="104">
        <v>300</v>
      </c>
      <c r="J338" s="104">
        <v>0</v>
      </c>
      <c r="K338" s="147">
        <f t="shared" si="46"/>
        <v>300</v>
      </c>
      <c r="L338" s="104">
        <v>0</v>
      </c>
      <c r="M338" s="103">
        <v>0</v>
      </c>
      <c r="N338" s="102">
        <f t="shared" si="62"/>
        <v>300</v>
      </c>
      <c r="O338" s="104">
        <v>0</v>
      </c>
      <c r="P338" s="104">
        <v>0</v>
      </c>
      <c r="Q338" s="177">
        <f t="shared" si="68"/>
        <v>300</v>
      </c>
    </row>
    <row r="339" spans="1:18" ht="28.5" customHeight="1" x14ac:dyDescent="0.25">
      <c r="A339" s="17" t="s">
        <v>281</v>
      </c>
      <c r="B339" s="49" t="s">
        <v>36</v>
      </c>
      <c r="C339" s="104">
        <v>0</v>
      </c>
      <c r="D339" s="114">
        <v>0</v>
      </c>
      <c r="E339" s="115">
        <v>260</v>
      </c>
      <c r="F339" s="104">
        <f t="shared" si="67"/>
        <v>260</v>
      </c>
      <c r="G339" s="104">
        <v>0</v>
      </c>
      <c r="H339" s="104">
        <f t="shared" si="65"/>
        <v>260</v>
      </c>
      <c r="I339" s="104">
        <v>0</v>
      </c>
      <c r="J339" s="104">
        <v>0</v>
      </c>
      <c r="K339" s="147">
        <f t="shared" si="46"/>
        <v>260</v>
      </c>
      <c r="L339" s="104">
        <v>0</v>
      </c>
      <c r="M339" s="103">
        <v>0</v>
      </c>
      <c r="N339" s="102">
        <f t="shared" si="62"/>
        <v>260</v>
      </c>
      <c r="O339" s="104">
        <v>0</v>
      </c>
      <c r="P339" s="104">
        <v>0</v>
      </c>
      <c r="Q339" s="177">
        <f t="shared" si="68"/>
        <v>260</v>
      </c>
    </row>
    <row r="340" spans="1:18" ht="26.25" customHeight="1" x14ac:dyDescent="0.25">
      <c r="A340" s="17" t="s">
        <v>282</v>
      </c>
      <c r="B340" s="49" t="s">
        <v>36</v>
      </c>
      <c r="C340" s="104">
        <v>0</v>
      </c>
      <c r="D340" s="104">
        <v>0</v>
      </c>
      <c r="E340" s="104">
        <v>250</v>
      </c>
      <c r="F340" s="104">
        <f t="shared" si="67"/>
        <v>250</v>
      </c>
      <c r="G340" s="104">
        <v>0</v>
      </c>
      <c r="H340" s="104">
        <f t="shared" si="65"/>
        <v>250</v>
      </c>
      <c r="I340" s="104">
        <v>250</v>
      </c>
      <c r="J340" s="104">
        <v>0</v>
      </c>
      <c r="K340" s="147">
        <f t="shared" ref="K340:K403" si="69">SUM(H340:J340)</f>
        <v>500</v>
      </c>
      <c r="L340" s="104">
        <v>0</v>
      </c>
      <c r="M340" s="103">
        <v>0</v>
      </c>
      <c r="N340" s="102">
        <f t="shared" si="62"/>
        <v>500</v>
      </c>
      <c r="O340" s="104">
        <v>0</v>
      </c>
      <c r="P340" s="104">
        <v>0</v>
      </c>
      <c r="Q340" s="177">
        <f t="shared" si="68"/>
        <v>500</v>
      </c>
    </row>
    <row r="341" spans="1:18" ht="15.75" customHeight="1" x14ac:dyDescent="0.25">
      <c r="A341" s="55" t="s">
        <v>283</v>
      </c>
      <c r="B341" s="45" t="s">
        <v>36</v>
      </c>
      <c r="C341" s="106">
        <v>0</v>
      </c>
      <c r="D341" s="112">
        <v>0</v>
      </c>
      <c r="E341" s="113">
        <v>100</v>
      </c>
      <c r="F341" s="104">
        <f t="shared" si="67"/>
        <v>100</v>
      </c>
      <c r="G341" s="104">
        <v>0</v>
      </c>
      <c r="H341" s="104">
        <f t="shared" si="65"/>
        <v>100</v>
      </c>
      <c r="I341" s="104">
        <v>0</v>
      </c>
      <c r="J341" s="104">
        <v>0</v>
      </c>
      <c r="K341" s="147">
        <f t="shared" si="69"/>
        <v>100</v>
      </c>
      <c r="L341" s="104">
        <v>0</v>
      </c>
      <c r="M341" s="103">
        <v>0</v>
      </c>
      <c r="N341" s="102">
        <f t="shared" si="62"/>
        <v>100</v>
      </c>
      <c r="O341" s="104">
        <v>0</v>
      </c>
      <c r="P341" s="104">
        <v>0</v>
      </c>
      <c r="Q341" s="177">
        <f t="shared" si="68"/>
        <v>100</v>
      </c>
    </row>
    <row r="342" spans="1:18" ht="24.75" customHeight="1" x14ac:dyDescent="0.25">
      <c r="A342" s="17" t="s">
        <v>284</v>
      </c>
      <c r="B342" s="49" t="s">
        <v>36</v>
      </c>
      <c r="C342" s="104">
        <v>0</v>
      </c>
      <c r="D342" s="114">
        <v>0</v>
      </c>
      <c r="E342" s="115">
        <v>300</v>
      </c>
      <c r="F342" s="104">
        <f t="shared" si="67"/>
        <v>300</v>
      </c>
      <c r="G342" s="104">
        <v>0</v>
      </c>
      <c r="H342" s="104">
        <f t="shared" si="65"/>
        <v>300</v>
      </c>
      <c r="I342" s="104">
        <v>0</v>
      </c>
      <c r="J342" s="104">
        <v>0</v>
      </c>
      <c r="K342" s="115">
        <f t="shared" si="69"/>
        <v>300</v>
      </c>
      <c r="L342" s="104">
        <v>0</v>
      </c>
      <c r="M342" s="105">
        <v>0</v>
      </c>
      <c r="N342" s="104">
        <f t="shared" si="62"/>
        <v>300</v>
      </c>
      <c r="O342" s="104">
        <v>0</v>
      </c>
      <c r="P342" s="104">
        <v>0</v>
      </c>
      <c r="Q342" s="177">
        <f t="shared" si="68"/>
        <v>300</v>
      </c>
    </row>
    <row r="343" spans="1:18" ht="26.25" customHeight="1" x14ac:dyDescent="0.25">
      <c r="A343" s="20" t="s">
        <v>285</v>
      </c>
      <c r="B343" s="45" t="s">
        <v>36</v>
      </c>
      <c r="C343" s="106">
        <v>0</v>
      </c>
      <c r="D343" s="112">
        <v>0</v>
      </c>
      <c r="E343" s="113">
        <v>300</v>
      </c>
      <c r="F343" s="104">
        <f t="shared" si="67"/>
        <v>300</v>
      </c>
      <c r="G343" s="104">
        <v>0</v>
      </c>
      <c r="H343" s="104">
        <f t="shared" si="65"/>
        <v>300</v>
      </c>
      <c r="I343" s="104">
        <v>0</v>
      </c>
      <c r="J343" s="104">
        <v>0</v>
      </c>
      <c r="K343" s="147">
        <f t="shared" si="69"/>
        <v>300</v>
      </c>
      <c r="L343" s="104">
        <v>0</v>
      </c>
      <c r="M343" s="103">
        <v>0</v>
      </c>
      <c r="N343" s="102">
        <f t="shared" si="62"/>
        <v>300</v>
      </c>
      <c r="O343" s="104">
        <v>0</v>
      </c>
      <c r="P343" s="104">
        <v>0</v>
      </c>
      <c r="Q343" s="177">
        <f t="shared" si="68"/>
        <v>300</v>
      </c>
    </row>
    <row r="344" spans="1:18" ht="16.5" customHeight="1" x14ac:dyDescent="0.25">
      <c r="A344" s="54" t="s">
        <v>286</v>
      </c>
      <c r="B344" s="49" t="s">
        <v>36</v>
      </c>
      <c r="C344" s="104">
        <v>0</v>
      </c>
      <c r="D344" s="114">
        <v>0</v>
      </c>
      <c r="E344" s="115">
        <v>100</v>
      </c>
      <c r="F344" s="104">
        <f t="shared" si="67"/>
        <v>100</v>
      </c>
      <c r="G344" s="104">
        <v>0</v>
      </c>
      <c r="H344" s="104">
        <f t="shared" si="65"/>
        <v>100</v>
      </c>
      <c r="I344" s="104">
        <v>0</v>
      </c>
      <c r="J344" s="104">
        <v>0</v>
      </c>
      <c r="K344" s="147">
        <f t="shared" si="69"/>
        <v>100</v>
      </c>
      <c r="L344" s="104">
        <v>0</v>
      </c>
      <c r="M344" s="103">
        <v>0</v>
      </c>
      <c r="N344" s="102">
        <f t="shared" si="62"/>
        <v>100</v>
      </c>
      <c r="O344" s="104">
        <v>0</v>
      </c>
      <c r="P344" s="104">
        <v>0</v>
      </c>
      <c r="Q344" s="177">
        <f t="shared" si="68"/>
        <v>100</v>
      </c>
    </row>
    <row r="345" spans="1:18" ht="41.25" customHeight="1" x14ac:dyDescent="0.25">
      <c r="A345" s="20" t="s">
        <v>349</v>
      </c>
      <c r="B345" s="49" t="s">
        <v>36</v>
      </c>
      <c r="C345" s="104">
        <v>0</v>
      </c>
      <c r="D345" s="114"/>
      <c r="E345" s="115"/>
      <c r="F345" s="104"/>
      <c r="G345" s="104"/>
      <c r="H345" s="104">
        <v>0</v>
      </c>
      <c r="I345" s="104">
        <v>0</v>
      </c>
      <c r="J345" s="104">
        <f>45</f>
        <v>45</v>
      </c>
      <c r="K345" s="115">
        <f>SUM(H345:J345)</f>
        <v>45</v>
      </c>
      <c r="L345" s="104">
        <v>0</v>
      </c>
      <c r="M345" s="103">
        <v>0</v>
      </c>
      <c r="N345" s="102">
        <f t="shared" si="62"/>
        <v>45</v>
      </c>
      <c r="O345" s="104">
        <v>0</v>
      </c>
      <c r="P345" s="104">
        <v>0</v>
      </c>
      <c r="Q345" s="177">
        <f t="shared" si="68"/>
        <v>45</v>
      </c>
    </row>
    <row r="346" spans="1:18" ht="16.5" customHeight="1" thickBot="1" x14ac:dyDescent="0.3">
      <c r="A346" s="55" t="s">
        <v>226</v>
      </c>
      <c r="B346" s="93"/>
      <c r="C346" s="108">
        <v>0</v>
      </c>
      <c r="D346" s="144">
        <v>0</v>
      </c>
      <c r="E346" s="209">
        <v>1000</v>
      </c>
      <c r="F346" s="108">
        <f>SUM(C346:E346)</f>
        <v>1000</v>
      </c>
      <c r="G346" s="108">
        <v>0</v>
      </c>
      <c r="H346" s="108">
        <f t="shared" si="65"/>
        <v>1000</v>
      </c>
      <c r="I346" s="108">
        <v>0</v>
      </c>
      <c r="J346" s="108">
        <v>0</v>
      </c>
      <c r="K346" s="209">
        <f>SUM(H346:J346)</f>
        <v>1000</v>
      </c>
      <c r="L346" s="106">
        <v>0</v>
      </c>
      <c r="M346" s="137">
        <f>-700</f>
        <v>-700</v>
      </c>
      <c r="N346" s="108">
        <f t="shared" si="62"/>
        <v>300</v>
      </c>
      <c r="O346" s="106">
        <v>0</v>
      </c>
      <c r="P346" s="106">
        <v>0</v>
      </c>
      <c r="Q346" s="186">
        <f t="shared" si="68"/>
        <v>300</v>
      </c>
    </row>
    <row r="347" spans="1:18" ht="16.350000000000001" customHeight="1" thickBot="1" x14ac:dyDescent="0.3">
      <c r="A347" s="56" t="s">
        <v>123</v>
      </c>
      <c r="B347" s="50"/>
      <c r="C347" s="72">
        <f t="shared" ref="C347:J347" si="70">SUM(C349:C350)</f>
        <v>46983</v>
      </c>
      <c r="D347" s="72">
        <f t="shared" si="70"/>
        <v>0</v>
      </c>
      <c r="E347" s="90">
        <f t="shared" si="70"/>
        <v>7585</v>
      </c>
      <c r="F347" s="42">
        <f t="shared" si="70"/>
        <v>54568</v>
      </c>
      <c r="G347" s="42">
        <f t="shared" si="70"/>
        <v>0</v>
      </c>
      <c r="H347" s="42">
        <f t="shared" si="70"/>
        <v>54576</v>
      </c>
      <c r="I347" s="42">
        <f t="shared" si="70"/>
        <v>7139</v>
      </c>
      <c r="J347" s="42">
        <f t="shared" si="70"/>
        <v>14098</v>
      </c>
      <c r="K347" s="153">
        <f>SUM(K349:K350)</f>
        <v>78840</v>
      </c>
      <c r="L347" s="123">
        <f>SUM(L349:L350)</f>
        <v>-1610</v>
      </c>
      <c r="M347" s="124">
        <f>SUM(M349:M350)</f>
        <v>660</v>
      </c>
      <c r="N347" s="123">
        <f t="shared" si="62"/>
        <v>77890</v>
      </c>
      <c r="O347" s="123">
        <f>SUM(O349:O350)</f>
        <v>0</v>
      </c>
      <c r="P347" s="123">
        <f>SUM(P349:P350)</f>
        <v>2123</v>
      </c>
      <c r="Q347" s="176">
        <f t="shared" si="68"/>
        <v>80013</v>
      </c>
      <c r="R347" s="122"/>
    </row>
    <row r="348" spans="1:18" ht="12.75" customHeight="1" x14ac:dyDescent="0.25">
      <c r="A348" s="57" t="s">
        <v>27</v>
      </c>
      <c r="B348" s="47"/>
      <c r="C348" s="16"/>
      <c r="D348" s="73"/>
      <c r="E348" s="91"/>
      <c r="F348" s="16"/>
      <c r="G348" s="16"/>
      <c r="H348" s="102"/>
      <c r="I348" s="102"/>
      <c r="J348" s="102"/>
      <c r="K348" s="147"/>
      <c r="L348" s="102"/>
      <c r="M348" s="103"/>
      <c r="N348" s="102"/>
      <c r="O348" s="102"/>
      <c r="P348" s="102"/>
      <c r="Q348" s="169"/>
    </row>
    <row r="349" spans="1:18" ht="15.75" customHeight="1" x14ac:dyDescent="0.25">
      <c r="A349" s="54" t="s">
        <v>213</v>
      </c>
      <c r="B349" s="49"/>
      <c r="C349" s="19">
        <v>46983</v>
      </c>
      <c r="D349" s="74">
        <v>0</v>
      </c>
      <c r="E349" s="92">
        <v>7585</v>
      </c>
      <c r="F349" s="19">
        <f>SUM(C349:E349)</f>
        <v>54568</v>
      </c>
      <c r="G349" s="19">
        <v>0</v>
      </c>
      <c r="H349" s="104">
        <f>SUM(F349:G349)+8</f>
        <v>54576</v>
      </c>
      <c r="I349" s="104">
        <v>7139</v>
      </c>
      <c r="J349" s="104">
        <f>2598+11500</f>
        <v>14098</v>
      </c>
      <c r="K349" s="147">
        <f>SUM(H349:J349)+3027</f>
        <v>78840</v>
      </c>
      <c r="L349" s="104">
        <f>-1610</f>
        <v>-1610</v>
      </c>
      <c r="M349" s="103">
        <f>660</f>
        <v>660</v>
      </c>
      <c r="N349" s="102">
        <f t="shared" si="62"/>
        <v>77890</v>
      </c>
      <c r="O349" s="104">
        <v>0</v>
      </c>
      <c r="P349" s="104">
        <f>880+1243</f>
        <v>2123</v>
      </c>
      <c r="Q349" s="177">
        <f t="shared" si="68"/>
        <v>80013</v>
      </c>
    </row>
    <row r="350" spans="1:18" ht="28.5" customHeight="1" thickBot="1" x14ac:dyDescent="0.3">
      <c r="A350" s="20" t="s">
        <v>227</v>
      </c>
      <c r="B350" s="45"/>
      <c r="C350" s="22">
        <v>0</v>
      </c>
      <c r="D350" s="71">
        <v>0</v>
      </c>
      <c r="E350" s="89">
        <v>0</v>
      </c>
      <c r="F350" s="22">
        <f>SUM(C350:E350)</f>
        <v>0</v>
      </c>
      <c r="G350" s="22">
        <v>0</v>
      </c>
      <c r="H350" s="106">
        <f t="shared" si="65"/>
        <v>0</v>
      </c>
      <c r="I350" s="106">
        <v>0</v>
      </c>
      <c r="J350" s="106">
        <v>0</v>
      </c>
      <c r="K350" s="209">
        <f t="shared" si="69"/>
        <v>0</v>
      </c>
      <c r="L350" s="106">
        <v>0</v>
      </c>
      <c r="M350" s="137">
        <v>0</v>
      </c>
      <c r="N350" s="108">
        <f t="shared" si="62"/>
        <v>0</v>
      </c>
      <c r="O350" s="106">
        <v>0</v>
      </c>
      <c r="P350" s="106">
        <v>0</v>
      </c>
      <c r="Q350" s="186">
        <f t="shared" si="68"/>
        <v>0</v>
      </c>
    </row>
    <row r="351" spans="1:18" ht="17.25" customHeight="1" thickBot="1" x14ac:dyDescent="0.3">
      <c r="A351" s="56" t="s">
        <v>133</v>
      </c>
      <c r="B351" s="50"/>
      <c r="C351" s="42">
        <f t="shared" ref="C351:J351" si="71">SUM(C353:C359)</f>
        <v>24838.940000000002</v>
      </c>
      <c r="D351" s="72">
        <f t="shared" si="71"/>
        <v>50</v>
      </c>
      <c r="E351" s="88">
        <f t="shared" si="71"/>
        <v>-2520</v>
      </c>
      <c r="F351" s="42">
        <f t="shared" si="71"/>
        <v>22368.940000000002</v>
      </c>
      <c r="G351" s="42">
        <f t="shared" si="71"/>
        <v>0</v>
      </c>
      <c r="H351" s="42">
        <f t="shared" si="71"/>
        <v>22482.940000000002</v>
      </c>
      <c r="I351" s="42">
        <f t="shared" si="71"/>
        <v>-1181</v>
      </c>
      <c r="J351" s="42">
        <f t="shared" si="71"/>
        <v>0</v>
      </c>
      <c r="K351" s="153">
        <f>SUM(K353:K359)</f>
        <v>21453.940000000002</v>
      </c>
      <c r="L351" s="123">
        <f>SUM(L353:L359)</f>
        <v>-1060</v>
      </c>
      <c r="M351" s="124">
        <f>SUM(M353:M359)</f>
        <v>0</v>
      </c>
      <c r="N351" s="123">
        <f t="shared" si="62"/>
        <v>20393.940000000002</v>
      </c>
      <c r="O351" s="123">
        <f>SUM(O353:O359)</f>
        <v>0</v>
      </c>
      <c r="P351" s="123">
        <f>SUM(P353:P359)</f>
        <v>33.099999999999994</v>
      </c>
      <c r="Q351" s="176">
        <f t="shared" si="68"/>
        <v>20427.04</v>
      </c>
      <c r="R351" s="122"/>
    </row>
    <row r="352" spans="1:18" ht="15.75" customHeight="1" x14ac:dyDescent="0.25">
      <c r="A352" s="57" t="s">
        <v>27</v>
      </c>
      <c r="B352" s="47"/>
      <c r="C352" s="16"/>
      <c r="D352" s="73"/>
      <c r="E352" s="82"/>
      <c r="F352" s="16"/>
      <c r="G352" s="16"/>
      <c r="H352" s="102"/>
      <c r="I352" s="102"/>
      <c r="J352" s="102"/>
      <c r="K352" s="147"/>
      <c r="L352" s="102"/>
      <c r="M352" s="103"/>
      <c r="N352" s="102"/>
      <c r="O352" s="102"/>
      <c r="P352" s="102"/>
      <c r="Q352" s="169"/>
    </row>
    <row r="353" spans="1:18" ht="15" customHeight="1" x14ac:dyDescent="0.25">
      <c r="A353" s="54" t="s">
        <v>213</v>
      </c>
      <c r="B353" s="49"/>
      <c r="C353" s="104">
        <v>5283.06</v>
      </c>
      <c r="D353" s="104">
        <f>50</f>
        <v>50</v>
      </c>
      <c r="E353" s="105">
        <v>480</v>
      </c>
      <c r="F353" s="104">
        <f>SUM(C353:E353)</f>
        <v>5813.06</v>
      </c>
      <c r="G353" s="104">
        <v>0</v>
      </c>
      <c r="H353" s="104">
        <f>SUM(F353:G353)+114</f>
        <v>5927.06</v>
      </c>
      <c r="I353" s="104">
        <v>-1265</v>
      </c>
      <c r="J353" s="104">
        <v>0</v>
      </c>
      <c r="K353" s="147">
        <f>SUM(H353:J353)+152</f>
        <v>4814.0600000000004</v>
      </c>
      <c r="L353" s="104">
        <f>-1060</f>
        <v>-1060</v>
      </c>
      <c r="M353" s="103">
        <v>0</v>
      </c>
      <c r="N353" s="102">
        <f t="shared" si="62"/>
        <v>3754.0600000000004</v>
      </c>
      <c r="O353" s="104">
        <v>0</v>
      </c>
      <c r="P353" s="104">
        <f>-19.8+52.9</f>
        <v>33.099999999999994</v>
      </c>
      <c r="Q353" s="177">
        <f t="shared" si="68"/>
        <v>3787.1600000000003</v>
      </c>
    </row>
    <row r="354" spans="1:18" ht="26.25" customHeight="1" x14ac:dyDescent="0.25">
      <c r="A354" s="17" t="s">
        <v>228</v>
      </c>
      <c r="B354" s="49"/>
      <c r="C354" s="104">
        <v>3000</v>
      </c>
      <c r="D354" s="104">
        <v>0</v>
      </c>
      <c r="E354" s="105">
        <v>-3000</v>
      </c>
      <c r="F354" s="104">
        <f t="shared" ref="F354:F359" si="72">SUM(C354:E354)</f>
        <v>0</v>
      </c>
      <c r="G354" s="104">
        <v>0</v>
      </c>
      <c r="H354" s="104">
        <f t="shared" si="65"/>
        <v>0</v>
      </c>
      <c r="I354" s="104">
        <v>0</v>
      </c>
      <c r="J354" s="104">
        <v>0</v>
      </c>
      <c r="K354" s="147">
        <f t="shared" si="69"/>
        <v>0</v>
      </c>
      <c r="L354" s="104">
        <v>0</v>
      </c>
      <c r="M354" s="103">
        <v>0</v>
      </c>
      <c r="N354" s="102">
        <f t="shared" si="62"/>
        <v>0</v>
      </c>
      <c r="O354" s="104">
        <v>0</v>
      </c>
      <c r="P354" s="104">
        <v>0</v>
      </c>
      <c r="Q354" s="177">
        <f t="shared" si="68"/>
        <v>0</v>
      </c>
    </row>
    <row r="355" spans="1:18" ht="27.75" customHeight="1" x14ac:dyDescent="0.25">
      <c r="A355" s="17" t="s">
        <v>229</v>
      </c>
      <c r="B355" s="49" t="s">
        <v>135</v>
      </c>
      <c r="C355" s="104">
        <v>655.88</v>
      </c>
      <c r="D355" s="104">
        <v>0</v>
      </c>
      <c r="E355" s="105">
        <v>0</v>
      </c>
      <c r="F355" s="104">
        <f t="shared" si="72"/>
        <v>655.88</v>
      </c>
      <c r="G355" s="104">
        <v>0</v>
      </c>
      <c r="H355" s="104">
        <f t="shared" si="65"/>
        <v>655.88</v>
      </c>
      <c r="I355" s="104">
        <v>0</v>
      </c>
      <c r="J355" s="104">
        <v>0</v>
      </c>
      <c r="K355" s="147">
        <f t="shared" si="69"/>
        <v>655.88</v>
      </c>
      <c r="L355" s="104">
        <f>0</f>
        <v>0</v>
      </c>
      <c r="M355" s="103">
        <v>0</v>
      </c>
      <c r="N355" s="102">
        <f t="shared" si="62"/>
        <v>655.88</v>
      </c>
      <c r="O355" s="104">
        <v>0</v>
      </c>
      <c r="P355" s="104">
        <v>0</v>
      </c>
      <c r="Q355" s="177">
        <f t="shared" si="68"/>
        <v>655.88</v>
      </c>
    </row>
    <row r="356" spans="1:18" ht="26.25" customHeight="1" x14ac:dyDescent="0.25">
      <c r="A356" s="17" t="s">
        <v>230</v>
      </c>
      <c r="B356" s="49" t="s">
        <v>231</v>
      </c>
      <c r="C356" s="104">
        <v>15500</v>
      </c>
      <c r="D356" s="104">
        <v>0</v>
      </c>
      <c r="E356" s="105">
        <v>0</v>
      </c>
      <c r="F356" s="104">
        <f t="shared" si="72"/>
        <v>15500</v>
      </c>
      <c r="G356" s="104">
        <v>0</v>
      </c>
      <c r="H356" s="104">
        <f t="shared" si="65"/>
        <v>15500</v>
      </c>
      <c r="I356" s="104">
        <v>0</v>
      </c>
      <c r="J356" s="104">
        <v>0</v>
      </c>
      <c r="K356" s="147">
        <f t="shared" si="69"/>
        <v>15500</v>
      </c>
      <c r="L356" s="104">
        <f>0</f>
        <v>0</v>
      </c>
      <c r="M356" s="103">
        <v>0</v>
      </c>
      <c r="N356" s="102">
        <f t="shared" si="62"/>
        <v>15500</v>
      </c>
      <c r="O356" s="104">
        <v>0</v>
      </c>
      <c r="P356" s="104">
        <v>0</v>
      </c>
      <c r="Q356" s="177">
        <f t="shared" si="68"/>
        <v>15500</v>
      </c>
    </row>
    <row r="357" spans="1:18" ht="16.5" customHeight="1" x14ac:dyDescent="0.25">
      <c r="A357" s="17" t="s">
        <v>232</v>
      </c>
      <c r="B357" s="53" t="s">
        <v>119</v>
      </c>
      <c r="C357" s="104">
        <v>400</v>
      </c>
      <c r="D357" s="104">
        <v>0</v>
      </c>
      <c r="E357" s="105">
        <v>0</v>
      </c>
      <c r="F357" s="104">
        <f t="shared" si="72"/>
        <v>400</v>
      </c>
      <c r="G357" s="104">
        <v>0</v>
      </c>
      <c r="H357" s="104">
        <f t="shared" si="65"/>
        <v>400</v>
      </c>
      <c r="I357" s="104">
        <v>0</v>
      </c>
      <c r="J357" s="104">
        <v>0</v>
      </c>
      <c r="K357" s="147">
        <f t="shared" si="69"/>
        <v>400</v>
      </c>
      <c r="L357" s="104">
        <v>0</v>
      </c>
      <c r="M357" s="103">
        <v>0</v>
      </c>
      <c r="N357" s="102">
        <f t="shared" si="62"/>
        <v>400</v>
      </c>
      <c r="O357" s="104">
        <v>0</v>
      </c>
      <c r="P357" s="104">
        <v>0</v>
      </c>
      <c r="Q357" s="177">
        <f t="shared" si="68"/>
        <v>400</v>
      </c>
    </row>
    <row r="358" spans="1:18" ht="27.75" customHeight="1" x14ac:dyDescent="0.25">
      <c r="A358" s="17" t="s">
        <v>337</v>
      </c>
      <c r="B358" s="53" t="s">
        <v>338</v>
      </c>
      <c r="C358" s="104">
        <v>0</v>
      </c>
      <c r="D358" s="104"/>
      <c r="E358" s="105"/>
      <c r="F358" s="104"/>
      <c r="G358" s="104"/>
      <c r="H358" s="104">
        <v>0</v>
      </c>
      <c r="I358" s="104">
        <v>84</v>
      </c>
      <c r="J358" s="104">
        <v>0</v>
      </c>
      <c r="K358" s="115">
        <f t="shared" si="69"/>
        <v>84</v>
      </c>
      <c r="L358" s="104">
        <v>0</v>
      </c>
      <c r="M358" s="103">
        <v>0</v>
      </c>
      <c r="N358" s="102">
        <f t="shared" si="62"/>
        <v>84</v>
      </c>
      <c r="O358" s="104">
        <v>0</v>
      </c>
      <c r="P358" s="104">
        <v>0</v>
      </c>
      <c r="Q358" s="177">
        <f t="shared" si="68"/>
        <v>84</v>
      </c>
    </row>
    <row r="359" spans="1:18" ht="24.75" customHeight="1" thickBot="1" x14ac:dyDescent="0.3">
      <c r="A359" s="20" t="s">
        <v>233</v>
      </c>
      <c r="B359" s="45"/>
      <c r="C359" s="106">
        <v>0</v>
      </c>
      <c r="D359" s="106">
        <v>0</v>
      </c>
      <c r="E359" s="107">
        <v>0</v>
      </c>
      <c r="F359" s="106">
        <f t="shared" si="72"/>
        <v>0</v>
      </c>
      <c r="G359" s="106">
        <v>0</v>
      </c>
      <c r="H359" s="106">
        <f t="shared" si="65"/>
        <v>0</v>
      </c>
      <c r="I359" s="106">
        <v>0</v>
      </c>
      <c r="J359" s="106">
        <v>0</v>
      </c>
      <c r="K359" s="113">
        <f t="shared" si="69"/>
        <v>0</v>
      </c>
      <c r="L359" s="106">
        <v>0</v>
      </c>
      <c r="M359" s="137">
        <v>0</v>
      </c>
      <c r="N359" s="108">
        <f t="shared" si="62"/>
        <v>0</v>
      </c>
      <c r="O359" s="106">
        <v>0</v>
      </c>
      <c r="P359" s="106">
        <v>0</v>
      </c>
      <c r="Q359" s="186">
        <f t="shared" si="68"/>
        <v>0</v>
      </c>
    </row>
    <row r="360" spans="1:18" ht="15.75" customHeight="1" thickBot="1" x14ac:dyDescent="0.3">
      <c r="A360" s="56" t="s">
        <v>142</v>
      </c>
      <c r="B360" s="50"/>
      <c r="C360" s="42">
        <f t="shared" ref="C360:J360" si="73">SUM(C362:C365)</f>
        <v>1000</v>
      </c>
      <c r="D360" s="42">
        <f t="shared" si="73"/>
        <v>0</v>
      </c>
      <c r="E360" s="88">
        <f t="shared" si="73"/>
        <v>0</v>
      </c>
      <c r="F360" s="42">
        <f t="shared" si="73"/>
        <v>1000</v>
      </c>
      <c r="G360" s="72">
        <f t="shared" si="73"/>
        <v>0</v>
      </c>
      <c r="H360" s="42">
        <f t="shared" si="73"/>
        <v>1000</v>
      </c>
      <c r="I360" s="42">
        <f t="shared" si="73"/>
        <v>0</v>
      </c>
      <c r="J360" s="42">
        <f t="shared" si="73"/>
        <v>0</v>
      </c>
      <c r="K360" s="153">
        <f t="shared" si="69"/>
        <v>1000</v>
      </c>
      <c r="L360" s="123">
        <f>SUM(L362:L365)</f>
        <v>700</v>
      </c>
      <c r="M360" s="124">
        <f>SUM(M362:M365)</f>
        <v>0</v>
      </c>
      <c r="N360" s="123">
        <f t="shared" si="62"/>
        <v>1700</v>
      </c>
      <c r="O360" s="123">
        <f>SUM(O362:O365)</f>
        <v>0</v>
      </c>
      <c r="P360" s="123">
        <f>SUM(P362:P365)</f>
        <v>0</v>
      </c>
      <c r="Q360" s="176">
        <f t="shared" si="68"/>
        <v>1700</v>
      </c>
      <c r="R360" s="122"/>
    </row>
    <row r="361" spans="1:18" ht="13.5" customHeight="1" x14ac:dyDescent="0.25">
      <c r="A361" s="57" t="s">
        <v>27</v>
      </c>
      <c r="B361" s="47"/>
      <c r="C361" s="16"/>
      <c r="D361" s="16"/>
      <c r="E361" s="82"/>
      <c r="F361" s="16"/>
      <c r="G361" s="16"/>
      <c r="H361" s="102"/>
      <c r="I361" s="102"/>
      <c r="J361" s="102"/>
      <c r="K361" s="147"/>
      <c r="L361" s="102"/>
      <c r="M361" s="103"/>
      <c r="N361" s="102"/>
      <c r="O361" s="102"/>
      <c r="P361" s="102"/>
      <c r="Q361" s="169"/>
    </row>
    <row r="362" spans="1:18" ht="15" customHeight="1" x14ac:dyDescent="0.25">
      <c r="A362" s="17" t="s">
        <v>234</v>
      </c>
      <c r="B362" s="53" t="s">
        <v>36</v>
      </c>
      <c r="C362" s="19">
        <v>1000</v>
      </c>
      <c r="D362" s="19">
        <v>0</v>
      </c>
      <c r="E362" s="83">
        <v>0</v>
      </c>
      <c r="F362" s="19">
        <f>SUM(C362:E362)</f>
        <v>1000</v>
      </c>
      <c r="G362" s="19">
        <v>0</v>
      </c>
      <c r="H362" s="104">
        <f t="shared" si="65"/>
        <v>1000</v>
      </c>
      <c r="I362" s="104">
        <v>0</v>
      </c>
      <c r="J362" s="104">
        <v>0</v>
      </c>
      <c r="K362" s="147">
        <f t="shared" si="69"/>
        <v>1000</v>
      </c>
      <c r="L362" s="104">
        <v>0</v>
      </c>
      <c r="M362" s="103">
        <v>0</v>
      </c>
      <c r="N362" s="102">
        <f t="shared" si="62"/>
        <v>1000</v>
      </c>
      <c r="O362" s="104">
        <v>0</v>
      </c>
      <c r="P362" s="104">
        <v>0</v>
      </c>
      <c r="Q362" s="177">
        <f t="shared" si="68"/>
        <v>1000</v>
      </c>
    </row>
    <row r="363" spans="1:18" ht="39" customHeight="1" x14ac:dyDescent="0.25">
      <c r="A363" s="17" t="s">
        <v>361</v>
      </c>
      <c r="B363" s="53" t="s">
        <v>362</v>
      </c>
      <c r="C363" s="104">
        <v>0</v>
      </c>
      <c r="D363" s="19"/>
      <c r="E363" s="83"/>
      <c r="F363" s="19"/>
      <c r="G363" s="19"/>
      <c r="H363" s="104"/>
      <c r="I363" s="104"/>
      <c r="J363" s="104"/>
      <c r="K363" s="115">
        <v>0</v>
      </c>
      <c r="L363" s="104">
        <f>500</f>
        <v>500</v>
      </c>
      <c r="M363" s="105">
        <v>0</v>
      </c>
      <c r="N363" s="102">
        <f t="shared" si="62"/>
        <v>500</v>
      </c>
      <c r="O363" s="104">
        <v>0</v>
      </c>
      <c r="P363" s="104">
        <v>0</v>
      </c>
      <c r="Q363" s="177">
        <f t="shared" si="68"/>
        <v>500</v>
      </c>
    </row>
    <row r="364" spans="1:18" ht="26.25" customHeight="1" x14ac:dyDescent="0.25">
      <c r="A364" s="17" t="s">
        <v>363</v>
      </c>
      <c r="B364" s="53" t="s">
        <v>362</v>
      </c>
      <c r="C364" s="104">
        <v>0</v>
      </c>
      <c r="D364" s="19"/>
      <c r="E364" s="83"/>
      <c r="F364" s="19"/>
      <c r="G364" s="19"/>
      <c r="H364" s="104"/>
      <c r="I364" s="104"/>
      <c r="J364" s="104"/>
      <c r="K364" s="115">
        <v>0</v>
      </c>
      <c r="L364" s="104">
        <f>200</f>
        <v>200</v>
      </c>
      <c r="M364" s="105">
        <v>0</v>
      </c>
      <c r="N364" s="102">
        <f t="shared" si="62"/>
        <v>200</v>
      </c>
      <c r="O364" s="104">
        <v>0</v>
      </c>
      <c r="P364" s="104">
        <v>0</v>
      </c>
      <c r="Q364" s="177">
        <f t="shared" si="68"/>
        <v>200</v>
      </c>
    </row>
    <row r="365" spans="1:18" ht="17.25" customHeight="1" thickBot="1" x14ac:dyDescent="0.3">
      <c r="A365" s="146" t="s">
        <v>235</v>
      </c>
      <c r="B365" s="93"/>
      <c r="C365" s="27">
        <v>0</v>
      </c>
      <c r="D365" s="27">
        <v>0</v>
      </c>
      <c r="E365" s="85">
        <v>0</v>
      </c>
      <c r="F365" s="27">
        <f>SUM(C365:E365)</f>
        <v>0</v>
      </c>
      <c r="G365" s="27">
        <v>0</v>
      </c>
      <c r="H365" s="108">
        <f t="shared" si="65"/>
        <v>0</v>
      </c>
      <c r="I365" s="108">
        <v>0</v>
      </c>
      <c r="J365" s="108">
        <v>0</v>
      </c>
      <c r="K365" s="209">
        <f t="shared" si="69"/>
        <v>0</v>
      </c>
      <c r="L365" s="108">
        <v>0</v>
      </c>
      <c r="M365" s="137">
        <v>0</v>
      </c>
      <c r="N365" s="108">
        <f t="shared" si="62"/>
        <v>0</v>
      </c>
      <c r="O365" s="106">
        <v>0</v>
      </c>
      <c r="P365" s="106">
        <v>0</v>
      </c>
      <c r="Q365" s="186">
        <f t="shared" si="68"/>
        <v>0</v>
      </c>
    </row>
    <row r="366" spans="1:18" ht="15.75" customHeight="1" thickBot="1" x14ac:dyDescent="0.3">
      <c r="A366" s="56" t="s">
        <v>180</v>
      </c>
      <c r="B366" s="50"/>
      <c r="C366" s="42">
        <f t="shared" ref="C366:J366" si="74">SUM(C368:C372)</f>
        <v>253596</v>
      </c>
      <c r="D366" s="42">
        <f t="shared" si="74"/>
        <v>-4619</v>
      </c>
      <c r="E366" s="88">
        <f t="shared" si="74"/>
        <v>24941</v>
      </c>
      <c r="F366" s="42">
        <f t="shared" si="74"/>
        <v>273918</v>
      </c>
      <c r="G366" s="42">
        <f t="shared" si="74"/>
        <v>15799</v>
      </c>
      <c r="H366" s="42">
        <f t="shared" si="74"/>
        <v>289717</v>
      </c>
      <c r="I366" s="42">
        <f t="shared" si="74"/>
        <v>1400</v>
      </c>
      <c r="J366" s="42">
        <f t="shared" si="74"/>
        <v>-13411</v>
      </c>
      <c r="K366" s="153">
        <f t="shared" si="69"/>
        <v>277706</v>
      </c>
      <c r="L366" s="123">
        <f>SUM(L368:L372)</f>
        <v>4569</v>
      </c>
      <c r="M366" s="124">
        <f>SUM(M368:M372)</f>
        <v>-50</v>
      </c>
      <c r="N366" s="123">
        <f t="shared" si="62"/>
        <v>282225</v>
      </c>
      <c r="O366" s="123">
        <f>SUM(O368:O372)</f>
        <v>0</v>
      </c>
      <c r="P366" s="123">
        <f>SUM(P368:P372)</f>
        <v>0</v>
      </c>
      <c r="Q366" s="176">
        <f t="shared" si="68"/>
        <v>282225</v>
      </c>
      <c r="R366" s="122"/>
    </row>
    <row r="367" spans="1:18" ht="15" customHeight="1" x14ac:dyDescent="0.25">
      <c r="A367" s="57" t="s">
        <v>27</v>
      </c>
      <c r="B367" s="47"/>
      <c r="C367" s="16"/>
      <c r="D367" s="16"/>
      <c r="E367" s="82"/>
      <c r="F367" s="16"/>
      <c r="G367" s="16"/>
      <c r="H367" s="102"/>
      <c r="I367" s="102"/>
      <c r="J367" s="102"/>
      <c r="K367" s="147"/>
      <c r="L367" s="102"/>
      <c r="M367" s="103"/>
      <c r="N367" s="102"/>
      <c r="O367" s="102"/>
      <c r="P367" s="102"/>
      <c r="Q367" s="169"/>
    </row>
    <row r="368" spans="1:18" ht="17.25" customHeight="1" x14ac:dyDescent="0.25">
      <c r="A368" s="54" t="s">
        <v>213</v>
      </c>
      <c r="B368" s="49"/>
      <c r="C368" s="104">
        <v>252596</v>
      </c>
      <c r="D368" s="104">
        <f>-3559-992-68</f>
        <v>-4619</v>
      </c>
      <c r="E368" s="105">
        <v>21663</v>
      </c>
      <c r="F368" s="104">
        <f>SUM(C368:E368)</f>
        <v>269640</v>
      </c>
      <c r="G368" s="104">
        <f>4855+200+10944</f>
        <v>15999</v>
      </c>
      <c r="H368" s="104">
        <f t="shared" si="65"/>
        <v>285639</v>
      </c>
      <c r="I368" s="104">
        <v>1400</v>
      </c>
      <c r="J368" s="104">
        <f>-8411-5000</f>
        <v>-13411</v>
      </c>
      <c r="K368" s="147">
        <f t="shared" si="69"/>
        <v>273628</v>
      </c>
      <c r="L368" s="104">
        <v>0</v>
      </c>
      <c r="M368" s="103">
        <f>988-38</f>
        <v>950</v>
      </c>
      <c r="N368" s="102">
        <f t="shared" si="62"/>
        <v>274578</v>
      </c>
      <c r="O368" s="104">
        <v>0</v>
      </c>
      <c r="P368" s="104">
        <v>0</v>
      </c>
      <c r="Q368" s="177">
        <f t="shared" si="68"/>
        <v>274578</v>
      </c>
    </row>
    <row r="369" spans="1:18" ht="15.75" customHeight="1" x14ac:dyDescent="0.25">
      <c r="A369" s="17" t="s">
        <v>236</v>
      </c>
      <c r="B369" s="49"/>
      <c r="C369" s="104">
        <v>1000</v>
      </c>
      <c r="D369" s="104">
        <v>0</v>
      </c>
      <c r="E369" s="105">
        <v>0</v>
      </c>
      <c r="F369" s="104">
        <f t="shared" ref="F369:F372" si="75">SUM(C369:E369)</f>
        <v>1000</v>
      </c>
      <c r="G369" s="104">
        <v>0</v>
      </c>
      <c r="H369" s="104">
        <f t="shared" si="65"/>
        <v>1000</v>
      </c>
      <c r="I369" s="104">
        <v>0</v>
      </c>
      <c r="J369" s="104">
        <v>0</v>
      </c>
      <c r="K369" s="147">
        <f t="shared" si="69"/>
        <v>1000</v>
      </c>
      <c r="L369" s="104">
        <v>0</v>
      </c>
      <c r="M369" s="103">
        <f>-1000</f>
        <v>-1000</v>
      </c>
      <c r="N369" s="102">
        <f t="shared" si="62"/>
        <v>0</v>
      </c>
      <c r="O369" s="104">
        <v>0</v>
      </c>
      <c r="P369" s="104">
        <v>0</v>
      </c>
      <c r="Q369" s="177">
        <f t="shared" si="68"/>
        <v>0</v>
      </c>
    </row>
    <row r="370" spans="1:18" ht="17.25" customHeight="1" x14ac:dyDescent="0.25">
      <c r="A370" s="54" t="s">
        <v>237</v>
      </c>
      <c r="B370" s="49"/>
      <c r="C370" s="104">
        <v>0</v>
      </c>
      <c r="D370" s="104">
        <v>0</v>
      </c>
      <c r="E370" s="105">
        <v>278</v>
      </c>
      <c r="F370" s="104">
        <f t="shared" si="75"/>
        <v>278</v>
      </c>
      <c r="G370" s="104">
        <f>-200</f>
        <v>-200</v>
      </c>
      <c r="H370" s="104">
        <f t="shared" si="65"/>
        <v>78</v>
      </c>
      <c r="I370" s="104">
        <v>0</v>
      </c>
      <c r="J370" s="104">
        <v>0</v>
      </c>
      <c r="K370" s="147">
        <f t="shared" si="69"/>
        <v>78</v>
      </c>
      <c r="L370" s="104">
        <f>4569</f>
        <v>4569</v>
      </c>
      <c r="M370" s="103">
        <v>0</v>
      </c>
      <c r="N370" s="102">
        <f t="shared" si="62"/>
        <v>4647</v>
      </c>
      <c r="O370" s="104">
        <v>0</v>
      </c>
      <c r="P370" s="104">
        <v>0</v>
      </c>
      <c r="Q370" s="177">
        <f t="shared" si="68"/>
        <v>4647</v>
      </c>
    </row>
    <row r="371" spans="1:18" ht="26.25" customHeight="1" x14ac:dyDescent="0.25">
      <c r="A371" s="17" t="s">
        <v>228</v>
      </c>
      <c r="B371" s="49"/>
      <c r="C371" s="104">
        <v>0</v>
      </c>
      <c r="D371" s="104">
        <v>0</v>
      </c>
      <c r="E371" s="105">
        <v>3000</v>
      </c>
      <c r="F371" s="104">
        <f t="shared" si="75"/>
        <v>3000</v>
      </c>
      <c r="G371" s="104">
        <v>0</v>
      </c>
      <c r="H371" s="104">
        <f t="shared" si="65"/>
        <v>3000</v>
      </c>
      <c r="I371" s="104">
        <v>0</v>
      </c>
      <c r="J371" s="104">
        <v>0</v>
      </c>
      <c r="K371" s="147">
        <f t="shared" si="69"/>
        <v>3000</v>
      </c>
      <c r="L371" s="104">
        <v>0</v>
      </c>
      <c r="M371" s="103">
        <v>0</v>
      </c>
      <c r="N371" s="102">
        <f t="shared" si="62"/>
        <v>3000</v>
      </c>
      <c r="O371" s="104">
        <v>0</v>
      </c>
      <c r="P371" s="104">
        <v>0</v>
      </c>
      <c r="Q371" s="177">
        <f t="shared" si="68"/>
        <v>3000</v>
      </c>
    </row>
    <row r="372" spans="1:18" ht="17.25" customHeight="1" thickBot="1" x14ac:dyDescent="0.3">
      <c r="A372" s="55" t="s">
        <v>238</v>
      </c>
      <c r="B372" s="45"/>
      <c r="C372" s="106">
        <v>0</v>
      </c>
      <c r="D372" s="106">
        <v>0</v>
      </c>
      <c r="E372" s="107">
        <v>0</v>
      </c>
      <c r="F372" s="106">
        <f t="shared" si="75"/>
        <v>0</v>
      </c>
      <c r="G372" s="106">
        <v>0</v>
      </c>
      <c r="H372" s="106">
        <f t="shared" si="65"/>
        <v>0</v>
      </c>
      <c r="I372" s="106">
        <v>0</v>
      </c>
      <c r="J372" s="106">
        <v>0</v>
      </c>
      <c r="K372" s="113">
        <f t="shared" si="69"/>
        <v>0</v>
      </c>
      <c r="L372" s="106">
        <v>0</v>
      </c>
      <c r="M372" s="107">
        <v>0</v>
      </c>
      <c r="N372" s="106">
        <f t="shared" si="62"/>
        <v>0</v>
      </c>
      <c r="O372" s="106">
        <v>0</v>
      </c>
      <c r="P372" s="106">
        <v>0</v>
      </c>
      <c r="Q372" s="186">
        <f t="shared" si="68"/>
        <v>0</v>
      </c>
    </row>
    <row r="373" spans="1:18" ht="15" customHeight="1" thickBot="1" x14ac:dyDescent="0.3">
      <c r="A373" s="56" t="s">
        <v>182</v>
      </c>
      <c r="B373" s="50"/>
      <c r="C373" s="123">
        <f t="shared" ref="C373:J373" si="76">SUM(C375:C381)</f>
        <v>8726.74</v>
      </c>
      <c r="D373" s="123">
        <f t="shared" si="76"/>
        <v>-408.98</v>
      </c>
      <c r="E373" s="124">
        <f t="shared" si="76"/>
        <v>239.58</v>
      </c>
      <c r="F373" s="123">
        <f t="shared" si="76"/>
        <v>8557.34</v>
      </c>
      <c r="G373" s="123">
        <f t="shared" si="76"/>
        <v>0</v>
      </c>
      <c r="H373" s="123">
        <f t="shared" si="76"/>
        <v>8557.34</v>
      </c>
      <c r="I373" s="123">
        <f t="shared" si="76"/>
        <v>-2174.8000000000002</v>
      </c>
      <c r="J373" s="123">
        <f t="shared" si="76"/>
        <v>-494.90999999999997</v>
      </c>
      <c r="K373" s="153">
        <f>SUM(K375:K381)</f>
        <v>5818.93</v>
      </c>
      <c r="L373" s="123">
        <f>SUM(L375:L381)</f>
        <v>0</v>
      </c>
      <c r="M373" s="124">
        <f>SUM(M375:M381)</f>
        <v>-30.25</v>
      </c>
      <c r="N373" s="123">
        <f t="shared" si="62"/>
        <v>5788.68</v>
      </c>
      <c r="O373" s="123">
        <f>SUM(O375:O381)</f>
        <v>0</v>
      </c>
      <c r="P373" s="123">
        <f>SUM(P375:P381)</f>
        <v>0</v>
      </c>
      <c r="Q373" s="176">
        <f t="shared" si="68"/>
        <v>5788.68</v>
      </c>
      <c r="R373" s="122"/>
    </row>
    <row r="374" spans="1:18" ht="14.25" customHeight="1" x14ac:dyDescent="0.25">
      <c r="A374" s="57" t="s">
        <v>27</v>
      </c>
      <c r="B374" s="47"/>
      <c r="C374" s="16"/>
      <c r="D374" s="16"/>
      <c r="E374" s="82"/>
      <c r="F374" s="16"/>
      <c r="G374" s="16"/>
      <c r="H374" s="102"/>
      <c r="I374" s="102"/>
      <c r="J374" s="102"/>
      <c r="K374" s="147"/>
      <c r="L374" s="102"/>
      <c r="M374" s="103"/>
      <c r="N374" s="102"/>
      <c r="O374" s="102"/>
      <c r="P374" s="102"/>
      <c r="Q374" s="169"/>
    </row>
    <row r="375" spans="1:18" ht="16.5" customHeight="1" x14ac:dyDescent="0.25">
      <c r="A375" s="17" t="s">
        <v>239</v>
      </c>
      <c r="B375" s="63" t="s">
        <v>240</v>
      </c>
      <c r="C375" s="104">
        <v>5000</v>
      </c>
      <c r="D375" s="104">
        <v>0</v>
      </c>
      <c r="E375" s="105">
        <v>0</v>
      </c>
      <c r="F375" s="104">
        <f>SUM(C375:E375)</f>
        <v>5000</v>
      </c>
      <c r="G375" s="104">
        <v>0</v>
      </c>
      <c r="H375" s="104">
        <f t="shared" si="65"/>
        <v>5000</v>
      </c>
      <c r="I375" s="104">
        <v>-2234.8000000000002</v>
      </c>
      <c r="J375" s="104">
        <v>0</v>
      </c>
      <c r="K375" s="147">
        <f t="shared" si="69"/>
        <v>2765.2</v>
      </c>
      <c r="L375" s="104">
        <v>0</v>
      </c>
      <c r="M375" s="103">
        <v>0</v>
      </c>
      <c r="N375" s="102">
        <f t="shared" si="62"/>
        <v>2765.2</v>
      </c>
      <c r="O375" s="104">
        <v>0</v>
      </c>
      <c r="P375" s="104">
        <v>0</v>
      </c>
      <c r="Q375" s="177">
        <f t="shared" si="68"/>
        <v>2765.2</v>
      </c>
    </row>
    <row r="376" spans="1:18" ht="15" customHeight="1" x14ac:dyDescent="0.25">
      <c r="A376" s="54" t="s">
        <v>241</v>
      </c>
      <c r="B376" s="49"/>
      <c r="C376" s="104">
        <v>1000</v>
      </c>
      <c r="D376" s="104">
        <f>-408.98</f>
        <v>-408.98</v>
      </c>
      <c r="E376" s="105">
        <v>239.58</v>
      </c>
      <c r="F376" s="104">
        <f t="shared" ref="F376:F381" si="77">SUM(C376:E376)</f>
        <v>830.6</v>
      </c>
      <c r="G376" s="104">
        <v>0</v>
      </c>
      <c r="H376" s="104">
        <f t="shared" si="65"/>
        <v>830.6</v>
      </c>
      <c r="I376" s="104">
        <v>0</v>
      </c>
      <c r="J376" s="104">
        <f>-20.57</f>
        <v>-20.57</v>
      </c>
      <c r="K376" s="147">
        <f>SUM(H376:J376)-68.7</f>
        <v>741.32999999999993</v>
      </c>
      <c r="L376" s="104">
        <v>0</v>
      </c>
      <c r="M376" s="103">
        <f>-30.25</f>
        <v>-30.25</v>
      </c>
      <c r="N376" s="102">
        <f t="shared" si="62"/>
        <v>711.07999999999993</v>
      </c>
      <c r="O376" s="104">
        <v>0</v>
      </c>
      <c r="P376" s="104">
        <v>0</v>
      </c>
      <c r="Q376" s="177">
        <f t="shared" si="68"/>
        <v>711.07999999999993</v>
      </c>
    </row>
    <row r="377" spans="1:18" ht="15" customHeight="1" x14ac:dyDescent="0.25">
      <c r="A377" s="54" t="s">
        <v>213</v>
      </c>
      <c r="B377" s="49"/>
      <c r="C377" s="104">
        <v>474.34</v>
      </c>
      <c r="D377" s="104">
        <v>0</v>
      </c>
      <c r="E377" s="105">
        <v>0</v>
      </c>
      <c r="F377" s="104">
        <f t="shared" si="77"/>
        <v>474.34</v>
      </c>
      <c r="G377" s="104">
        <v>0</v>
      </c>
      <c r="H377" s="104">
        <f t="shared" si="65"/>
        <v>474.34</v>
      </c>
      <c r="I377" s="104">
        <v>60</v>
      </c>
      <c r="J377" s="104">
        <f>-474.34</f>
        <v>-474.34</v>
      </c>
      <c r="K377" s="147">
        <f t="shared" si="69"/>
        <v>59.999999999999943</v>
      </c>
      <c r="L377" s="104">
        <v>0</v>
      </c>
      <c r="M377" s="103">
        <v>0</v>
      </c>
      <c r="N377" s="102">
        <f t="shared" si="62"/>
        <v>59.999999999999943</v>
      </c>
      <c r="O377" s="104">
        <v>0</v>
      </c>
      <c r="P377" s="104">
        <v>0</v>
      </c>
      <c r="Q377" s="177">
        <f t="shared" si="68"/>
        <v>59.999999999999943</v>
      </c>
    </row>
    <row r="378" spans="1:18" ht="29.25" customHeight="1" x14ac:dyDescent="0.25">
      <c r="A378" s="17" t="s">
        <v>242</v>
      </c>
      <c r="B378" s="53" t="s">
        <v>193</v>
      </c>
      <c r="C378" s="104">
        <v>2012.4</v>
      </c>
      <c r="D378" s="104">
        <v>0</v>
      </c>
      <c r="E378" s="105">
        <v>0</v>
      </c>
      <c r="F378" s="104">
        <f t="shared" si="77"/>
        <v>2012.4</v>
      </c>
      <c r="G378" s="104">
        <v>0</v>
      </c>
      <c r="H378" s="104">
        <f t="shared" si="65"/>
        <v>2012.4</v>
      </c>
      <c r="I378" s="104">
        <v>0</v>
      </c>
      <c r="J378" s="104">
        <v>0</v>
      </c>
      <c r="K378" s="147">
        <f t="shared" si="69"/>
        <v>2012.4</v>
      </c>
      <c r="L378" s="104">
        <v>0</v>
      </c>
      <c r="M378" s="103">
        <v>0</v>
      </c>
      <c r="N378" s="102">
        <f t="shared" si="62"/>
        <v>2012.4</v>
      </c>
      <c r="O378" s="104">
        <v>0</v>
      </c>
      <c r="P378" s="104">
        <v>0</v>
      </c>
      <c r="Q378" s="177">
        <f t="shared" si="68"/>
        <v>2012.4</v>
      </c>
    </row>
    <row r="379" spans="1:18" ht="26.25" customHeight="1" x14ac:dyDescent="0.25">
      <c r="A379" s="17" t="s">
        <v>243</v>
      </c>
      <c r="B379" s="49"/>
      <c r="C379" s="104">
        <v>90</v>
      </c>
      <c r="D379" s="104">
        <v>0</v>
      </c>
      <c r="E379" s="105">
        <v>0</v>
      </c>
      <c r="F379" s="104">
        <f t="shared" si="77"/>
        <v>90</v>
      </c>
      <c r="G379" s="104">
        <v>0</v>
      </c>
      <c r="H379" s="104">
        <f t="shared" si="65"/>
        <v>90</v>
      </c>
      <c r="I379" s="104">
        <v>0</v>
      </c>
      <c r="J379" s="104">
        <v>0</v>
      </c>
      <c r="K379" s="147">
        <f t="shared" si="69"/>
        <v>90</v>
      </c>
      <c r="L379" s="104">
        <v>0</v>
      </c>
      <c r="M379" s="103">
        <v>0</v>
      </c>
      <c r="N379" s="102">
        <f t="shared" si="62"/>
        <v>90</v>
      </c>
      <c r="O379" s="104">
        <v>0</v>
      </c>
      <c r="P379" s="104">
        <v>0</v>
      </c>
      <c r="Q379" s="177">
        <f t="shared" si="68"/>
        <v>90</v>
      </c>
    </row>
    <row r="380" spans="1:18" ht="26.25" customHeight="1" x14ac:dyDescent="0.25">
      <c r="A380" s="17" t="s">
        <v>244</v>
      </c>
      <c r="B380" s="49"/>
      <c r="C380" s="104">
        <v>150</v>
      </c>
      <c r="D380" s="104">
        <v>0</v>
      </c>
      <c r="E380" s="105">
        <v>0</v>
      </c>
      <c r="F380" s="104">
        <f t="shared" si="77"/>
        <v>150</v>
      </c>
      <c r="G380" s="104">
        <v>0</v>
      </c>
      <c r="H380" s="104">
        <f t="shared" si="65"/>
        <v>150</v>
      </c>
      <c r="I380" s="104">
        <v>0</v>
      </c>
      <c r="J380" s="104">
        <v>0</v>
      </c>
      <c r="K380" s="147">
        <f t="shared" si="69"/>
        <v>150</v>
      </c>
      <c r="L380" s="104">
        <v>0</v>
      </c>
      <c r="M380" s="103">
        <v>0</v>
      </c>
      <c r="N380" s="102">
        <f t="shared" si="62"/>
        <v>150</v>
      </c>
      <c r="O380" s="104">
        <v>0</v>
      </c>
      <c r="P380" s="104">
        <v>0</v>
      </c>
      <c r="Q380" s="177">
        <f t="shared" si="68"/>
        <v>150</v>
      </c>
    </row>
    <row r="381" spans="1:18" ht="27" customHeight="1" thickBot="1" x14ac:dyDescent="0.3">
      <c r="A381" s="20" t="s">
        <v>245</v>
      </c>
      <c r="B381" s="45"/>
      <c r="C381" s="188">
        <v>0</v>
      </c>
      <c r="D381" s="188">
        <v>0</v>
      </c>
      <c r="E381" s="107">
        <v>0</v>
      </c>
      <c r="F381" s="106">
        <f t="shared" si="77"/>
        <v>0</v>
      </c>
      <c r="G381" s="106">
        <v>0</v>
      </c>
      <c r="H381" s="106">
        <f t="shared" si="65"/>
        <v>0</v>
      </c>
      <c r="I381" s="106">
        <v>0</v>
      </c>
      <c r="J381" s="106">
        <v>0</v>
      </c>
      <c r="K381" s="113">
        <f t="shared" si="69"/>
        <v>0</v>
      </c>
      <c r="L381" s="106">
        <v>0</v>
      </c>
      <c r="M381" s="107">
        <v>0</v>
      </c>
      <c r="N381" s="106">
        <f t="shared" si="62"/>
        <v>0</v>
      </c>
      <c r="O381" s="106">
        <v>0</v>
      </c>
      <c r="P381" s="106">
        <v>0</v>
      </c>
      <c r="Q381" s="186">
        <f t="shared" si="68"/>
        <v>0</v>
      </c>
    </row>
    <row r="382" spans="1:18" ht="14.25" customHeight="1" thickBot="1" x14ac:dyDescent="0.3">
      <c r="A382" s="69" t="s">
        <v>203</v>
      </c>
      <c r="B382" s="46"/>
      <c r="C382" s="123">
        <f>SUM(C384:C384)</f>
        <v>900</v>
      </c>
      <c r="D382" s="123">
        <f t="shared" ref="D382:J382" si="78">SUM(D384)</f>
        <v>0</v>
      </c>
      <c r="E382" s="124">
        <f t="shared" si="78"/>
        <v>0</v>
      </c>
      <c r="F382" s="123">
        <f t="shared" si="78"/>
        <v>900</v>
      </c>
      <c r="G382" s="123">
        <f t="shared" si="78"/>
        <v>0</v>
      </c>
      <c r="H382" s="123">
        <f t="shared" si="78"/>
        <v>900</v>
      </c>
      <c r="I382" s="123">
        <f t="shared" si="78"/>
        <v>0</v>
      </c>
      <c r="J382" s="123">
        <f t="shared" si="78"/>
        <v>0</v>
      </c>
      <c r="K382" s="153">
        <f t="shared" si="69"/>
        <v>900</v>
      </c>
      <c r="L382" s="123">
        <f>SUM(L384)</f>
        <v>0</v>
      </c>
      <c r="M382" s="124">
        <f>SUM(M384)</f>
        <v>0</v>
      </c>
      <c r="N382" s="123">
        <f t="shared" si="62"/>
        <v>900</v>
      </c>
      <c r="O382" s="123">
        <f>SUM(O384)</f>
        <v>0</v>
      </c>
      <c r="P382" s="123">
        <f>SUM(P384)</f>
        <v>0</v>
      </c>
      <c r="Q382" s="176">
        <f t="shared" si="68"/>
        <v>900</v>
      </c>
      <c r="R382" s="122"/>
    </row>
    <row r="383" spans="1:18" ht="14.25" customHeight="1" x14ac:dyDescent="0.25">
      <c r="A383" s="57" t="s">
        <v>27</v>
      </c>
      <c r="B383" s="47"/>
      <c r="C383" s="16"/>
      <c r="D383" s="16"/>
      <c r="E383" s="82"/>
      <c r="F383" s="16"/>
      <c r="G383" s="16"/>
      <c r="H383" s="102"/>
      <c r="I383" s="102"/>
      <c r="J383" s="102"/>
      <c r="K383" s="147"/>
      <c r="L383" s="102"/>
      <c r="M383" s="103"/>
      <c r="N383" s="102"/>
      <c r="O383" s="102"/>
      <c r="P383" s="102"/>
      <c r="Q383" s="169"/>
    </row>
    <row r="384" spans="1:18" ht="15.75" customHeight="1" thickBot="1" x14ac:dyDescent="0.3">
      <c r="A384" s="55" t="s">
        <v>213</v>
      </c>
      <c r="B384" s="45"/>
      <c r="C384" s="22">
        <v>900</v>
      </c>
      <c r="D384" s="22">
        <v>0</v>
      </c>
      <c r="E384" s="84">
        <v>0</v>
      </c>
      <c r="F384" s="22">
        <f>SUM(C384:E384)</f>
        <v>900</v>
      </c>
      <c r="G384" s="22">
        <v>0</v>
      </c>
      <c r="H384" s="106">
        <f t="shared" si="65"/>
        <v>900</v>
      </c>
      <c r="I384" s="106">
        <v>0</v>
      </c>
      <c r="J384" s="106">
        <v>0</v>
      </c>
      <c r="K384" s="209">
        <f t="shared" si="69"/>
        <v>900</v>
      </c>
      <c r="L384" s="106">
        <v>0</v>
      </c>
      <c r="M384" s="137">
        <v>0</v>
      </c>
      <c r="N384" s="108">
        <f t="shared" ref="N384:N408" si="79">SUM(K384:M384)</f>
        <v>900</v>
      </c>
      <c r="O384" s="106">
        <v>0</v>
      </c>
      <c r="P384" s="106">
        <v>0</v>
      </c>
      <c r="Q384" s="186">
        <f t="shared" si="68"/>
        <v>900</v>
      </c>
    </row>
    <row r="385" spans="1:18" ht="15.75" customHeight="1" thickBot="1" x14ac:dyDescent="0.3">
      <c r="A385" s="56" t="s">
        <v>205</v>
      </c>
      <c r="B385" s="50"/>
      <c r="C385" s="42">
        <f>SUM(C387:C387)</f>
        <v>23254</v>
      </c>
      <c r="D385" s="42">
        <f t="shared" ref="D385:J385" si="80">SUM(D387)</f>
        <v>-8108.52</v>
      </c>
      <c r="E385" s="88">
        <f t="shared" si="80"/>
        <v>12735</v>
      </c>
      <c r="F385" s="42">
        <f t="shared" si="80"/>
        <v>27880.48</v>
      </c>
      <c r="G385" s="72">
        <f t="shared" si="80"/>
        <v>1218</v>
      </c>
      <c r="H385" s="42">
        <f t="shared" si="80"/>
        <v>29098.48</v>
      </c>
      <c r="I385" s="42">
        <f t="shared" si="80"/>
        <v>4000</v>
      </c>
      <c r="J385" s="42">
        <f t="shared" si="80"/>
        <v>0</v>
      </c>
      <c r="K385" s="153">
        <f>SUM(K387)</f>
        <v>33098.14</v>
      </c>
      <c r="L385" s="123">
        <f>SUM(L387)</f>
        <v>0</v>
      </c>
      <c r="M385" s="124">
        <f>SUM(M387)</f>
        <v>-336.3</v>
      </c>
      <c r="N385" s="123">
        <f t="shared" si="79"/>
        <v>32761.84</v>
      </c>
      <c r="O385" s="123">
        <f>SUM(O387)</f>
        <v>0</v>
      </c>
      <c r="P385" s="123">
        <f>SUM(P387)</f>
        <v>688</v>
      </c>
      <c r="Q385" s="176">
        <f t="shared" si="68"/>
        <v>33449.839999999997</v>
      </c>
      <c r="R385" s="122"/>
    </row>
    <row r="386" spans="1:18" ht="14.25" customHeight="1" x14ac:dyDescent="0.25">
      <c r="A386" s="57" t="s">
        <v>27</v>
      </c>
      <c r="B386" s="47"/>
      <c r="C386" s="16"/>
      <c r="D386" s="16"/>
      <c r="E386" s="82"/>
      <c r="F386" s="16"/>
      <c r="G386" s="16"/>
      <c r="H386" s="102"/>
      <c r="I386" s="102"/>
      <c r="J386" s="102"/>
      <c r="K386" s="147"/>
      <c r="L386" s="102"/>
      <c r="M386" s="103"/>
      <c r="N386" s="102"/>
      <c r="O386" s="102"/>
      <c r="P386" s="102"/>
      <c r="Q386" s="169"/>
    </row>
    <row r="387" spans="1:18" ht="18" customHeight="1" thickBot="1" x14ac:dyDescent="0.3">
      <c r="A387" s="55" t="s">
        <v>213</v>
      </c>
      <c r="B387" s="45"/>
      <c r="C387" s="22">
        <v>23254</v>
      </c>
      <c r="D387" s="22">
        <f>-5210.92-2944+46.4</f>
        <v>-8108.52</v>
      </c>
      <c r="E387" s="84">
        <v>12735</v>
      </c>
      <c r="F387" s="22">
        <f>SUM(C387:E387)</f>
        <v>27880.48</v>
      </c>
      <c r="G387" s="22">
        <f>1218</f>
        <v>1218</v>
      </c>
      <c r="H387" s="106">
        <f t="shared" si="65"/>
        <v>29098.48</v>
      </c>
      <c r="I387" s="106">
        <v>4000</v>
      </c>
      <c r="J387" s="106">
        <v>0</v>
      </c>
      <c r="K387" s="209">
        <f>SUM(H387:J387)-0.34</f>
        <v>33098.14</v>
      </c>
      <c r="L387" s="106">
        <v>0</v>
      </c>
      <c r="M387" s="137">
        <f>-336.3</f>
        <v>-336.3</v>
      </c>
      <c r="N387" s="108">
        <f t="shared" si="79"/>
        <v>32761.84</v>
      </c>
      <c r="O387" s="106">
        <v>0</v>
      </c>
      <c r="P387" s="106">
        <f>688</f>
        <v>688</v>
      </c>
      <c r="Q387" s="186">
        <f t="shared" si="68"/>
        <v>33449.839999999997</v>
      </c>
    </row>
    <row r="388" spans="1:18" ht="16.5" customHeight="1" thickBot="1" x14ac:dyDescent="0.3">
      <c r="A388" s="65" t="s">
        <v>207</v>
      </c>
      <c r="B388" s="50"/>
      <c r="C388" s="123">
        <f t="shared" ref="C388:J388" si="81">SUM(C390:C391)</f>
        <v>900</v>
      </c>
      <c r="D388" s="123">
        <f t="shared" si="81"/>
        <v>0</v>
      </c>
      <c r="E388" s="124">
        <f t="shared" si="81"/>
        <v>1200</v>
      </c>
      <c r="F388" s="123">
        <f t="shared" si="81"/>
        <v>2100</v>
      </c>
      <c r="G388" s="123">
        <f t="shared" si="81"/>
        <v>0</v>
      </c>
      <c r="H388" s="123">
        <f t="shared" si="81"/>
        <v>2100</v>
      </c>
      <c r="I388" s="123">
        <f t="shared" si="81"/>
        <v>0</v>
      </c>
      <c r="J388" s="123">
        <f t="shared" si="81"/>
        <v>-314.57</v>
      </c>
      <c r="K388" s="153">
        <f t="shared" si="69"/>
        <v>1785.43</v>
      </c>
      <c r="L388" s="123">
        <f>SUM(L390:L391)</f>
        <v>0</v>
      </c>
      <c r="M388" s="124">
        <f>SUM(M390:M391)</f>
        <v>0</v>
      </c>
      <c r="N388" s="123">
        <f t="shared" si="79"/>
        <v>1785.43</v>
      </c>
      <c r="O388" s="123">
        <f>SUM(O390:O391)</f>
        <v>0</v>
      </c>
      <c r="P388" s="123">
        <f>SUM(P390:P391)</f>
        <v>0</v>
      </c>
      <c r="Q388" s="176">
        <f t="shared" si="68"/>
        <v>1785.43</v>
      </c>
      <c r="R388" s="122"/>
    </row>
    <row r="389" spans="1:18" ht="16.5" customHeight="1" x14ac:dyDescent="0.25">
      <c r="A389" s="57" t="s">
        <v>27</v>
      </c>
      <c r="B389" s="47"/>
      <c r="C389" s="16"/>
      <c r="D389" s="16"/>
      <c r="E389" s="82"/>
      <c r="F389" s="16"/>
      <c r="G389" s="16"/>
      <c r="H389" s="102"/>
      <c r="I389" s="102"/>
      <c r="J389" s="102"/>
      <c r="K389" s="147"/>
      <c r="L389" s="102"/>
      <c r="M389" s="103"/>
      <c r="N389" s="102"/>
      <c r="O389" s="102"/>
      <c r="P389" s="102"/>
      <c r="Q389" s="169"/>
    </row>
    <row r="390" spans="1:18" ht="17.25" customHeight="1" x14ac:dyDescent="0.25">
      <c r="A390" s="54" t="s">
        <v>213</v>
      </c>
      <c r="B390" s="49"/>
      <c r="C390" s="104">
        <v>0</v>
      </c>
      <c r="D390" s="104">
        <v>0</v>
      </c>
      <c r="E390" s="105">
        <v>1200</v>
      </c>
      <c r="F390" s="104">
        <f>SUM(C390:E390)</f>
        <v>1200</v>
      </c>
      <c r="G390" s="104">
        <v>0</v>
      </c>
      <c r="H390" s="104">
        <f t="shared" si="65"/>
        <v>1200</v>
      </c>
      <c r="I390" s="104">
        <v>0</v>
      </c>
      <c r="J390" s="104">
        <f>-314.57</f>
        <v>-314.57</v>
      </c>
      <c r="K390" s="147">
        <f t="shared" si="69"/>
        <v>885.43000000000006</v>
      </c>
      <c r="L390" s="104">
        <v>0</v>
      </c>
      <c r="M390" s="103">
        <v>0</v>
      </c>
      <c r="N390" s="102">
        <f t="shared" si="79"/>
        <v>885.43000000000006</v>
      </c>
      <c r="O390" s="104">
        <v>0</v>
      </c>
      <c r="P390" s="104">
        <v>0</v>
      </c>
      <c r="Q390" s="177">
        <f t="shared" si="68"/>
        <v>885.43000000000006</v>
      </c>
    </row>
    <row r="391" spans="1:18" ht="27.75" customHeight="1" thickBot="1" x14ac:dyDescent="0.3">
      <c r="A391" s="187" t="s">
        <v>246</v>
      </c>
      <c r="B391" s="100" t="s">
        <v>36</v>
      </c>
      <c r="C391" s="106">
        <v>900</v>
      </c>
      <c r="D391" s="106">
        <v>0</v>
      </c>
      <c r="E391" s="107">
        <v>0</v>
      </c>
      <c r="F391" s="106">
        <f>SUM(C391:E391)</f>
        <v>900</v>
      </c>
      <c r="G391" s="106">
        <v>0</v>
      </c>
      <c r="H391" s="106">
        <f t="shared" si="65"/>
        <v>900</v>
      </c>
      <c r="I391" s="106">
        <v>0</v>
      </c>
      <c r="J391" s="106">
        <v>0</v>
      </c>
      <c r="K391" s="113">
        <f t="shared" si="69"/>
        <v>900</v>
      </c>
      <c r="L391" s="106">
        <v>0</v>
      </c>
      <c r="M391" s="107">
        <v>0</v>
      </c>
      <c r="N391" s="106">
        <f t="shared" si="79"/>
        <v>900</v>
      </c>
      <c r="O391" s="106">
        <v>0</v>
      </c>
      <c r="P391" s="106">
        <v>0</v>
      </c>
      <c r="Q391" s="186">
        <f t="shared" si="68"/>
        <v>900</v>
      </c>
    </row>
    <row r="392" spans="1:18" ht="17.25" customHeight="1" thickBot="1" x14ac:dyDescent="0.3">
      <c r="A392" s="66" t="s">
        <v>247</v>
      </c>
      <c r="B392" s="67"/>
      <c r="C392" s="128">
        <f t="shared" ref="C392:H392" si="82">SUM(C299+C302+C307+C317+C322+C326+C347+C351+C360+C366+C373+C382+C385+C388)</f>
        <v>532078.65</v>
      </c>
      <c r="D392" s="128">
        <f t="shared" si="82"/>
        <v>-4251.8099999999995</v>
      </c>
      <c r="E392" s="128">
        <f t="shared" si="82"/>
        <v>213549.84999999998</v>
      </c>
      <c r="F392" s="128">
        <f t="shared" si="82"/>
        <v>741376.69</v>
      </c>
      <c r="G392" s="128">
        <f t="shared" si="82"/>
        <v>3180.4599999999991</v>
      </c>
      <c r="H392" s="128">
        <f t="shared" si="82"/>
        <v>744193.45</v>
      </c>
      <c r="I392" s="128">
        <f>I299+I302+I307+I317+I322+I326+I347+I351+I360+I366+I373+I382+I385+I388</f>
        <v>31507.52</v>
      </c>
      <c r="J392" s="128">
        <f>SUM(J299+J302+J307+J317+J322+J326+J347+J351+J360+J366+J373+J382+J385+J388)</f>
        <v>10506.02</v>
      </c>
      <c r="K392" s="154">
        <f>SUM(K299+K302+K307+K317+K322+K326+K347+K351+K360+K366+K373+K382+K385+K388)</f>
        <v>786371.4800000001</v>
      </c>
      <c r="L392" s="128">
        <f>SUM(L299+L302+L307+L317+L322+L326+L347+L351+L360+L366+L373+L382+L385+L388)</f>
        <v>4299</v>
      </c>
      <c r="M392" s="184">
        <f>SUM(M299+M302+M307+M317+M322+M326+M347+M351+M360+M366+M373+M382+M385+M388)</f>
        <v>580.45000000000005</v>
      </c>
      <c r="N392" s="128">
        <f t="shared" si="79"/>
        <v>791250.93</v>
      </c>
      <c r="O392" s="128">
        <f>SUM(O299+O302+O307+O317+O322+O326+O347+O351+O360+O366+O373+O382+O385+O388)</f>
        <v>0</v>
      </c>
      <c r="P392" s="128">
        <f>SUM(P299+P302+P307+P317+P322+P326+P347+P351+P360+P366+P373+P382+P385+P388)</f>
        <v>2472.7600000000002</v>
      </c>
      <c r="Q392" s="178">
        <f t="shared" si="68"/>
        <v>793723.69000000006</v>
      </c>
      <c r="R392" s="122"/>
    </row>
    <row r="393" spans="1:18" ht="18" customHeight="1" thickBot="1" x14ac:dyDescent="0.3">
      <c r="A393" s="163" t="s">
        <v>248</v>
      </c>
      <c r="B393" s="164"/>
      <c r="C393" s="128">
        <f>C296+C392</f>
        <v>2085807.56</v>
      </c>
      <c r="D393" s="128">
        <f>SUM(D296+D392)</f>
        <v>1835.6200000000008</v>
      </c>
      <c r="E393" s="128">
        <f>SUM(E296+E392)</f>
        <v>272356.37</v>
      </c>
      <c r="F393" s="128">
        <f>SUM(C393:E393)</f>
        <v>2359999.5500000003</v>
      </c>
      <c r="G393" s="128">
        <f>SUM(G296+G392)</f>
        <v>60640.1</v>
      </c>
      <c r="H393" s="128">
        <f>SUM(H296+H392)</f>
        <v>2424642.69</v>
      </c>
      <c r="I393" s="128">
        <f>I296+I392</f>
        <v>48604</v>
      </c>
      <c r="J393" s="128">
        <f>SUM(J296+J392)</f>
        <v>33103.959999999992</v>
      </c>
      <c r="K393" s="154">
        <f>SUM(K296+K392)</f>
        <v>2507372.62</v>
      </c>
      <c r="L393" s="128">
        <f>SUM(L296+L392)</f>
        <v>19006.660000000003</v>
      </c>
      <c r="M393" s="184">
        <f>SUM(M296+M392)</f>
        <v>2504.73</v>
      </c>
      <c r="N393" s="128">
        <f t="shared" si="79"/>
        <v>2528884.0100000002</v>
      </c>
      <c r="O393" s="128">
        <f>SUM(O296+O392)</f>
        <v>0</v>
      </c>
      <c r="P393" s="128">
        <f>SUM(P296+P392)</f>
        <v>6952.35</v>
      </c>
      <c r="Q393" s="178">
        <f t="shared" si="68"/>
        <v>2535836.3600000003</v>
      </c>
      <c r="R393" s="122"/>
    </row>
    <row r="394" spans="1:18" ht="12.75" customHeight="1" thickBot="1" x14ac:dyDescent="0.3">
      <c r="A394" s="132"/>
      <c r="B394" s="101"/>
      <c r="C394" s="133"/>
      <c r="D394" s="133"/>
      <c r="E394" s="85"/>
      <c r="F394" s="27"/>
      <c r="G394" s="27"/>
      <c r="H394" s="108"/>
      <c r="I394" s="108"/>
      <c r="J394" s="108"/>
      <c r="K394" s="209"/>
      <c r="L394" s="108"/>
      <c r="M394" s="137"/>
      <c r="N394" s="108"/>
      <c r="O394" s="108"/>
      <c r="P394" s="108"/>
      <c r="Q394" s="170"/>
    </row>
    <row r="395" spans="1:18" ht="16.5" customHeight="1" thickBot="1" x14ac:dyDescent="0.3">
      <c r="A395" s="28" t="s">
        <v>249</v>
      </c>
      <c r="B395" s="75"/>
      <c r="C395" s="30"/>
      <c r="D395" s="30"/>
      <c r="E395" s="86"/>
      <c r="F395" s="30"/>
      <c r="G395" s="30"/>
      <c r="H395" s="121"/>
      <c r="I395" s="121"/>
      <c r="J395" s="121"/>
      <c r="K395" s="149"/>
      <c r="L395" s="121"/>
      <c r="M395" s="182"/>
      <c r="N395" s="121"/>
      <c r="O395" s="121"/>
      <c r="P395" s="121"/>
      <c r="Q395" s="172"/>
    </row>
    <row r="396" spans="1:18" ht="15" customHeight="1" x14ac:dyDescent="0.25">
      <c r="A396" s="14" t="s">
        <v>250</v>
      </c>
      <c r="B396" s="47"/>
      <c r="C396" s="102">
        <v>12000</v>
      </c>
      <c r="D396" s="102">
        <v>0</v>
      </c>
      <c r="E396" s="103">
        <v>204</v>
      </c>
      <c r="F396" s="102">
        <f>SUM(C396:E396)</f>
        <v>12204</v>
      </c>
      <c r="G396" s="102">
        <v>0</v>
      </c>
      <c r="H396" s="102">
        <f t="shared" ref="H396:H402" si="83">SUM(F396:G396)</f>
        <v>12204</v>
      </c>
      <c r="I396" s="102">
        <v>0</v>
      </c>
      <c r="J396" s="102">
        <v>0</v>
      </c>
      <c r="K396" s="147">
        <f t="shared" si="69"/>
        <v>12204</v>
      </c>
      <c r="L396" s="102">
        <v>0</v>
      </c>
      <c r="M396" s="103">
        <v>0</v>
      </c>
      <c r="N396" s="102">
        <f t="shared" si="79"/>
        <v>12204</v>
      </c>
      <c r="O396" s="102">
        <v>0</v>
      </c>
      <c r="P396" s="102">
        <v>0</v>
      </c>
      <c r="Q396" s="169">
        <f t="shared" si="68"/>
        <v>12204</v>
      </c>
    </row>
    <row r="397" spans="1:18" ht="27" customHeight="1" x14ac:dyDescent="0.25">
      <c r="A397" s="17" t="s">
        <v>251</v>
      </c>
      <c r="B397" s="49"/>
      <c r="C397" s="104">
        <v>0</v>
      </c>
      <c r="D397" s="104">
        <v>0</v>
      </c>
      <c r="E397" s="105">
        <v>0</v>
      </c>
      <c r="F397" s="102">
        <f t="shared" ref="F397:F402" si="84">SUM(C397:E397)</f>
        <v>0</v>
      </c>
      <c r="G397" s="104">
        <v>0</v>
      </c>
      <c r="H397" s="104">
        <f t="shared" si="83"/>
        <v>0</v>
      </c>
      <c r="I397" s="104">
        <v>0</v>
      </c>
      <c r="J397" s="102">
        <v>0</v>
      </c>
      <c r="K397" s="147">
        <f t="shared" si="69"/>
        <v>0</v>
      </c>
      <c r="L397" s="104">
        <v>0</v>
      </c>
      <c r="M397" s="103">
        <v>0</v>
      </c>
      <c r="N397" s="102">
        <f t="shared" si="79"/>
        <v>0</v>
      </c>
      <c r="O397" s="104">
        <v>0</v>
      </c>
      <c r="P397" s="104">
        <v>0</v>
      </c>
      <c r="Q397" s="177">
        <f t="shared" si="68"/>
        <v>0</v>
      </c>
    </row>
    <row r="398" spans="1:18" ht="16.5" customHeight="1" x14ac:dyDescent="0.25">
      <c r="A398" s="17" t="s">
        <v>252</v>
      </c>
      <c r="B398" s="49"/>
      <c r="C398" s="104">
        <v>0</v>
      </c>
      <c r="D398" s="104">
        <v>0</v>
      </c>
      <c r="E398" s="105">
        <v>0</v>
      </c>
      <c r="F398" s="102">
        <f t="shared" si="84"/>
        <v>0</v>
      </c>
      <c r="G398" s="104">
        <v>0</v>
      </c>
      <c r="H398" s="104">
        <f t="shared" si="83"/>
        <v>0</v>
      </c>
      <c r="I398" s="104">
        <v>0</v>
      </c>
      <c r="J398" s="102">
        <v>0</v>
      </c>
      <c r="K398" s="147">
        <f t="shared" si="69"/>
        <v>0</v>
      </c>
      <c r="L398" s="104">
        <v>0</v>
      </c>
      <c r="M398" s="103">
        <v>0</v>
      </c>
      <c r="N398" s="102">
        <f t="shared" si="79"/>
        <v>0</v>
      </c>
      <c r="O398" s="104">
        <v>0</v>
      </c>
      <c r="P398" s="104">
        <v>0</v>
      </c>
      <c r="Q398" s="177">
        <f t="shared" si="68"/>
        <v>0</v>
      </c>
    </row>
    <row r="399" spans="1:18" ht="15" customHeight="1" x14ac:dyDescent="0.25">
      <c r="A399" s="17" t="s">
        <v>253</v>
      </c>
      <c r="B399" s="49"/>
      <c r="C399" s="104">
        <v>2859</v>
      </c>
      <c r="D399" s="104">
        <v>0</v>
      </c>
      <c r="E399" s="105">
        <v>0</v>
      </c>
      <c r="F399" s="102">
        <f t="shared" si="84"/>
        <v>2859</v>
      </c>
      <c r="G399" s="104">
        <v>0</v>
      </c>
      <c r="H399" s="104">
        <f t="shared" si="83"/>
        <v>2859</v>
      </c>
      <c r="I399" s="104">
        <v>0</v>
      </c>
      <c r="J399" s="102">
        <v>0</v>
      </c>
      <c r="K399" s="147">
        <f t="shared" si="69"/>
        <v>2859</v>
      </c>
      <c r="L399" s="104">
        <v>0</v>
      </c>
      <c r="M399" s="103">
        <v>0</v>
      </c>
      <c r="N399" s="102">
        <f>SUM(K399:M399)</f>
        <v>2859</v>
      </c>
      <c r="O399" s="104">
        <v>0</v>
      </c>
      <c r="P399" s="104">
        <v>0</v>
      </c>
      <c r="Q399" s="177">
        <f t="shared" ref="Q399:Q408" si="85">SUM(N399:P399)</f>
        <v>2859</v>
      </c>
    </row>
    <row r="400" spans="1:18" ht="15" customHeight="1" x14ac:dyDescent="0.25">
      <c r="A400" s="17" t="s">
        <v>254</v>
      </c>
      <c r="B400" s="49"/>
      <c r="C400" s="104">
        <v>0</v>
      </c>
      <c r="D400" s="104">
        <v>0</v>
      </c>
      <c r="E400" s="105">
        <v>0</v>
      </c>
      <c r="F400" s="102">
        <f t="shared" si="84"/>
        <v>0</v>
      </c>
      <c r="G400" s="104">
        <v>0</v>
      </c>
      <c r="H400" s="104">
        <f t="shared" si="83"/>
        <v>0</v>
      </c>
      <c r="I400" s="104">
        <v>0</v>
      </c>
      <c r="J400" s="102">
        <v>0</v>
      </c>
      <c r="K400" s="147">
        <f t="shared" si="69"/>
        <v>0</v>
      </c>
      <c r="L400" s="104">
        <v>0</v>
      </c>
      <c r="M400" s="103">
        <v>0</v>
      </c>
      <c r="N400" s="102">
        <f t="shared" si="79"/>
        <v>0</v>
      </c>
      <c r="O400" s="104">
        <v>0</v>
      </c>
      <c r="P400" s="104">
        <v>0</v>
      </c>
      <c r="Q400" s="177">
        <f t="shared" si="85"/>
        <v>0</v>
      </c>
    </row>
    <row r="401" spans="1:18" ht="15" customHeight="1" x14ac:dyDescent="0.25">
      <c r="A401" s="17" t="s">
        <v>255</v>
      </c>
      <c r="B401" s="49"/>
      <c r="C401" s="104">
        <v>0</v>
      </c>
      <c r="D401" s="104">
        <v>0</v>
      </c>
      <c r="E401" s="105">
        <v>0</v>
      </c>
      <c r="F401" s="102">
        <f t="shared" si="84"/>
        <v>0</v>
      </c>
      <c r="G401" s="104">
        <v>0</v>
      </c>
      <c r="H401" s="104">
        <f t="shared" si="83"/>
        <v>0</v>
      </c>
      <c r="I401" s="104">
        <v>0</v>
      </c>
      <c r="J401" s="102">
        <v>0</v>
      </c>
      <c r="K401" s="147">
        <f t="shared" si="69"/>
        <v>0</v>
      </c>
      <c r="L401" s="104">
        <v>0</v>
      </c>
      <c r="M401" s="103">
        <v>0</v>
      </c>
      <c r="N401" s="102">
        <f>SUM(K401:M401)</f>
        <v>0</v>
      </c>
      <c r="O401" s="104">
        <v>0</v>
      </c>
      <c r="P401" s="104">
        <v>0</v>
      </c>
      <c r="Q401" s="177">
        <f t="shared" si="85"/>
        <v>0</v>
      </c>
    </row>
    <row r="402" spans="1:18" ht="14.25" customHeight="1" thickBot="1" x14ac:dyDescent="0.3">
      <c r="A402" s="20" t="s">
        <v>256</v>
      </c>
      <c r="B402" s="45"/>
      <c r="C402" s="106">
        <v>40563.1</v>
      </c>
      <c r="D402" s="106">
        <v>0</v>
      </c>
      <c r="E402" s="107">
        <v>0</v>
      </c>
      <c r="F402" s="108">
        <f t="shared" si="84"/>
        <v>40563.1</v>
      </c>
      <c r="G402" s="106">
        <v>0</v>
      </c>
      <c r="H402" s="106">
        <f t="shared" si="83"/>
        <v>40563.1</v>
      </c>
      <c r="I402" s="106">
        <v>0</v>
      </c>
      <c r="J402" s="108">
        <v>0</v>
      </c>
      <c r="K402" s="209">
        <f>SUM(H402:J402)</f>
        <v>40563.1</v>
      </c>
      <c r="L402" s="106">
        <v>0</v>
      </c>
      <c r="M402" s="137">
        <v>0</v>
      </c>
      <c r="N402" s="108">
        <f t="shared" si="79"/>
        <v>40563.1</v>
      </c>
      <c r="O402" s="106">
        <v>0</v>
      </c>
      <c r="P402" s="106">
        <v>0</v>
      </c>
      <c r="Q402" s="186">
        <f t="shared" si="85"/>
        <v>40563.1</v>
      </c>
    </row>
    <row r="403" spans="1:18" ht="17.25" customHeight="1" thickBot="1" x14ac:dyDescent="0.3">
      <c r="A403" s="28" t="s">
        <v>257</v>
      </c>
      <c r="B403" s="76"/>
      <c r="C403" s="125">
        <f t="shared" ref="C403" si="86">SUM(C396:C402)</f>
        <v>55422.1</v>
      </c>
      <c r="D403" s="125">
        <f t="shared" ref="D403:J403" si="87">SUM(D396:D402)</f>
        <v>0</v>
      </c>
      <c r="E403" s="126">
        <f t="shared" si="87"/>
        <v>204</v>
      </c>
      <c r="F403" s="125">
        <f t="shared" si="87"/>
        <v>55626.1</v>
      </c>
      <c r="G403" s="125">
        <f t="shared" si="87"/>
        <v>0</v>
      </c>
      <c r="H403" s="125">
        <f>SUM(H396:H402)</f>
        <v>55626.1</v>
      </c>
      <c r="I403" s="125">
        <f t="shared" si="87"/>
        <v>0</v>
      </c>
      <c r="J403" s="125">
        <f t="shared" si="87"/>
        <v>0</v>
      </c>
      <c r="K403" s="150">
        <f t="shared" si="69"/>
        <v>55626.1</v>
      </c>
      <c r="L403" s="125">
        <f>SUM(L396:L402)</f>
        <v>0</v>
      </c>
      <c r="M403" s="126">
        <f>SUM(M396:M402)</f>
        <v>0</v>
      </c>
      <c r="N403" s="125">
        <f t="shared" si="79"/>
        <v>55626.1</v>
      </c>
      <c r="O403" s="125">
        <f>SUM(O396:O402)</f>
        <v>0</v>
      </c>
      <c r="P403" s="125">
        <f>SUM(P396:P402)</f>
        <v>0</v>
      </c>
      <c r="Q403" s="173">
        <f t="shared" si="85"/>
        <v>55626.1</v>
      </c>
      <c r="R403" s="122"/>
    </row>
    <row r="404" spans="1:18" ht="18.75" customHeight="1" thickBot="1" x14ac:dyDescent="0.3">
      <c r="A404" s="35" t="s">
        <v>258</v>
      </c>
      <c r="B404" s="77"/>
      <c r="C404" s="127">
        <f>C393+C403</f>
        <v>2141229.66</v>
      </c>
      <c r="D404" s="127">
        <f>SUM(D393+D403)</f>
        <v>1835.6200000000008</v>
      </c>
      <c r="E404" s="127">
        <f>SUM(E393+E403)</f>
        <v>272560.37</v>
      </c>
      <c r="F404" s="127">
        <f>SUM(C404:E404)</f>
        <v>2415625.6500000004</v>
      </c>
      <c r="G404" s="127">
        <f>SUM(G393+G403)</f>
        <v>60640.1</v>
      </c>
      <c r="H404" s="127">
        <f>SUM(H393+H403)</f>
        <v>2480268.79</v>
      </c>
      <c r="I404" s="127">
        <f>I393+I403</f>
        <v>48604</v>
      </c>
      <c r="J404" s="127">
        <f>SUM(J393+J403)</f>
        <v>33103.959999999992</v>
      </c>
      <c r="K404" s="151">
        <f>SUM(K393+K403)</f>
        <v>2562998.7200000002</v>
      </c>
      <c r="L404" s="127">
        <f>SUM(L393+L403)</f>
        <v>19006.660000000003</v>
      </c>
      <c r="M404" s="129">
        <f>SUM(M393+M403)</f>
        <v>2504.73</v>
      </c>
      <c r="N404" s="127">
        <f t="shared" si="79"/>
        <v>2584510.1100000003</v>
      </c>
      <c r="O404" s="127">
        <f>SUM(O393+O403)</f>
        <v>0</v>
      </c>
      <c r="P404" s="127">
        <f>SUM(P393+P403)</f>
        <v>6952.35</v>
      </c>
      <c r="Q404" s="174">
        <f t="shared" si="85"/>
        <v>2591462.4600000004</v>
      </c>
      <c r="R404" s="122"/>
    </row>
    <row r="405" spans="1:18" ht="12.75" customHeight="1" thickBot="1" x14ac:dyDescent="0.3">
      <c r="A405" s="190"/>
      <c r="B405" s="101"/>
      <c r="C405" s="191"/>
      <c r="D405" s="191"/>
      <c r="E405" s="85"/>
      <c r="F405" s="27"/>
      <c r="G405" s="27"/>
      <c r="H405" s="108"/>
      <c r="I405" s="108"/>
      <c r="J405" s="108"/>
      <c r="K405" s="209"/>
      <c r="L405" s="108"/>
      <c r="M405" s="137"/>
      <c r="N405" s="108"/>
      <c r="O405" s="108"/>
      <c r="P405" s="108"/>
      <c r="Q405" s="170"/>
    </row>
    <row r="406" spans="1:18" ht="29.25" customHeight="1" thickBot="1" x14ac:dyDescent="0.3">
      <c r="A406" s="28" t="s">
        <v>259</v>
      </c>
      <c r="B406" s="75"/>
      <c r="C406" s="30"/>
      <c r="D406" s="30"/>
      <c r="E406" s="86"/>
      <c r="F406" s="30"/>
      <c r="G406" s="30"/>
      <c r="H406" s="121"/>
      <c r="I406" s="121"/>
      <c r="J406" s="121"/>
      <c r="K406" s="149"/>
      <c r="L406" s="121"/>
      <c r="M406" s="182"/>
      <c r="N406" s="121"/>
      <c r="O406" s="121"/>
      <c r="P406" s="121"/>
      <c r="Q406" s="172"/>
    </row>
    <row r="407" spans="1:18" ht="16.5" customHeight="1" thickBot="1" x14ac:dyDescent="0.3">
      <c r="A407" s="25" t="s">
        <v>260</v>
      </c>
      <c r="B407" s="93"/>
      <c r="C407" s="162">
        <v>0</v>
      </c>
      <c r="D407" s="162">
        <v>0</v>
      </c>
      <c r="E407" s="85">
        <v>0</v>
      </c>
      <c r="F407" s="27">
        <f>SUM(C407:E407)</f>
        <v>0</v>
      </c>
      <c r="G407" s="96">
        <v>0</v>
      </c>
      <c r="H407" s="108">
        <f>SUM(F407:G407)</f>
        <v>0</v>
      </c>
      <c r="I407" s="108">
        <f t="shared" ref="I407" si="88">SUM(G407:H407)</f>
        <v>0</v>
      </c>
      <c r="J407" s="108">
        <v>0</v>
      </c>
      <c r="K407" s="209">
        <f>SUM(H407:J407)</f>
        <v>0</v>
      </c>
      <c r="L407" s="108">
        <v>0</v>
      </c>
      <c r="M407" s="137">
        <v>0</v>
      </c>
      <c r="N407" s="108">
        <f t="shared" si="79"/>
        <v>0</v>
      </c>
      <c r="O407" s="108">
        <v>0</v>
      </c>
      <c r="P407" s="108">
        <v>0</v>
      </c>
      <c r="Q407" s="170">
        <f t="shared" si="85"/>
        <v>0</v>
      </c>
    </row>
    <row r="408" spans="1:18" ht="30.75" thickBot="1" x14ac:dyDescent="0.3">
      <c r="A408" s="28" t="s">
        <v>261</v>
      </c>
      <c r="B408" s="76"/>
      <c r="C408" s="141">
        <f>SUM(C407)</f>
        <v>0</v>
      </c>
      <c r="D408" s="141">
        <f>SUM(D407)</f>
        <v>0</v>
      </c>
      <c r="E408" s="142">
        <f>SUM(E407)</f>
        <v>0</v>
      </c>
      <c r="F408" s="141">
        <f>SUM(C408:E408)</f>
        <v>0</v>
      </c>
      <c r="G408" s="143">
        <v>0</v>
      </c>
      <c r="H408" s="125">
        <f>SUM(F408:G408)</f>
        <v>0</v>
      </c>
      <c r="I408" s="125">
        <f t="shared" ref="I408" si="89">SUM(G408:H408)</f>
        <v>0</v>
      </c>
      <c r="J408" s="125">
        <v>0</v>
      </c>
      <c r="K408" s="150">
        <f t="shared" ref="K408" si="90">SUM(H408:J408)</f>
        <v>0</v>
      </c>
      <c r="L408" s="125">
        <v>0</v>
      </c>
      <c r="M408" s="126">
        <v>0</v>
      </c>
      <c r="N408" s="189">
        <f t="shared" si="79"/>
        <v>0</v>
      </c>
      <c r="O408" s="189">
        <v>0</v>
      </c>
      <c r="P408" s="189">
        <v>0</v>
      </c>
      <c r="Q408" s="172">
        <f t="shared" si="85"/>
        <v>0</v>
      </c>
    </row>
    <row r="409" spans="1:18" ht="9" customHeight="1" x14ac:dyDescent="0.25"/>
    <row r="410" spans="1:18" ht="11.25" customHeight="1" x14ac:dyDescent="0.25">
      <c r="A410" s="78"/>
      <c r="B410" s="78"/>
      <c r="C410" s="78"/>
      <c r="D410" s="78"/>
      <c r="E410" s="78"/>
      <c r="F410" s="78"/>
      <c r="G410" s="78"/>
    </row>
    <row r="411" spans="1:18" hidden="1" x14ac:dyDescent="0.25">
      <c r="A411" s="78"/>
      <c r="B411" s="78"/>
      <c r="C411" s="78"/>
      <c r="D411" s="78"/>
      <c r="E411" s="78"/>
      <c r="F411" s="78"/>
      <c r="G411" s="78"/>
    </row>
  </sheetData>
  <sheetProtection algorithmName="SHA-512" hashValue="xgfax48JSDmzTA0QYmiBePP1pJQguhYffy1pRkZ+HGM2wrcTf4BLEZbZBj9ee+xnvcHKmfmO0zsgNB/CNEzWbg==" saltValue="7HiaMKLCxnAc0BM5v+GcC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4. změně a po RO RM č. 1 - 155 
&amp;"-,Obyčejné"Zpracovala: Mgr. Andrea Oháňková, FO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4.ZR a RORM 1-155</vt:lpstr>
      <vt:lpstr>'ZU 2024 po 4.ZR a RORM 1-155'!Názvy_tisku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2024-11-11T06:51:03Z</cp:lastPrinted>
  <dcterms:created xsi:type="dcterms:W3CDTF">2024-01-31T13:47:41Z</dcterms:created>
  <dcterms:modified xsi:type="dcterms:W3CDTF">2024-11-21T07:10:23Z</dcterms:modified>
</cp:coreProperties>
</file>